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SEC\ADMINISTRATIVO\LEGISLAÇÃO E PUBLICAÇÃO\RESOLUÇÕES\2025\RCIP\"/>
    </mc:Choice>
  </mc:AlternateContent>
  <bookViews>
    <workbookView xWindow="-120" yWindow="-120" windowWidth="20610" windowHeight="7875" tabRatio="1000" activeTab="1"/>
  </bookViews>
  <sheets>
    <sheet name="Inicial" sheetId="1" r:id="rId1"/>
    <sheet name="Recursos Humanos Diretos" sheetId="21" r:id="rId2"/>
    <sheet name="Recursos Humanos Indiretos" sheetId="2" r:id="rId3"/>
    <sheet name="Depreciação" sheetId="22" r:id="rId4"/>
    <sheet name="Manutenção acervo bib" sheetId="23" r:id="rId5"/>
    <sheet name="Manutenção infraestrutura" sheetId="24" r:id="rId6"/>
    <sheet name="Energia Eletrica" sheetId="9" r:id="rId7"/>
    <sheet name="Água e Esgoto" sheetId="19" r:id="rId8"/>
    <sheet name="Limpeza" sheetId="25" r:id="rId9"/>
    <sheet name="Portaria" sheetId="26" r:id="rId10"/>
    <sheet name="Vigilância" sheetId="27" r:id="rId11"/>
  </sheets>
  <definedNames>
    <definedName name="_FilterDatabase" localSheetId="3" hidden="1">Depreciação!$B$4:$M$4</definedName>
    <definedName name="Print_Area" localSheetId="0">Inicial!$A$1:$J$82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21" l="1"/>
  <c r="C6" i="2"/>
  <c r="B9" i="21"/>
  <c r="G23" i="2"/>
  <c r="H23" i="2"/>
  <c r="H7" i="21"/>
  <c r="K10" i="22"/>
  <c r="H10" i="22"/>
  <c r="J10" i="22" s="1"/>
  <c r="E10" i="22"/>
  <c r="K9" i="22"/>
  <c r="H9" i="22"/>
  <c r="E9" i="22"/>
  <c r="M9" i="22" l="1"/>
  <c r="J5" i="22"/>
  <c r="H5" i="22"/>
  <c r="D20" i="1" l="1"/>
  <c r="D21" i="1"/>
  <c r="D22" i="1"/>
  <c r="D23" i="1"/>
  <c r="D24" i="1"/>
  <c r="D25" i="1"/>
  <c r="D19" i="1"/>
  <c r="G31" i="1"/>
  <c r="G32" i="1"/>
  <c r="G33" i="1"/>
  <c r="G34" i="1"/>
  <c r="G35" i="1"/>
  <c r="G30" i="1"/>
  <c r="F31" i="1"/>
  <c r="F32" i="1"/>
  <c r="F33" i="1"/>
  <c r="F34" i="1"/>
  <c r="F35" i="1"/>
  <c r="F30" i="1"/>
  <c r="D31" i="1"/>
  <c r="D32" i="1"/>
  <c r="D33" i="1"/>
  <c r="D34" i="1"/>
  <c r="D35" i="1"/>
  <c r="D30" i="1"/>
  <c r="E8" i="22"/>
  <c r="E7" i="22"/>
  <c r="E6" i="22" l="1"/>
  <c r="E5" i="22"/>
  <c r="E12" i="27" l="1"/>
  <c r="D12" i="27"/>
  <c r="C12" i="27"/>
  <c r="F8" i="27"/>
  <c r="F7" i="27"/>
  <c r="F6" i="27"/>
  <c r="F5" i="27"/>
  <c r="F4" i="27"/>
  <c r="E10" i="26"/>
  <c r="D10" i="26"/>
  <c r="C10" i="26"/>
  <c r="F6" i="26"/>
  <c r="F5" i="26"/>
  <c r="F4" i="26"/>
  <c r="E5" i="25"/>
  <c r="D5" i="25"/>
  <c r="C5" i="25"/>
  <c r="B5" i="25"/>
  <c r="E5" i="24"/>
  <c r="D5" i="24"/>
  <c r="C5" i="24"/>
  <c r="B5" i="24"/>
  <c r="D55" i="1"/>
  <c r="B5" i="23" s="1"/>
  <c r="D5" i="23"/>
  <c r="E11" i="9"/>
  <c r="E12" i="9"/>
  <c r="E13" i="9"/>
  <c r="E14" i="9"/>
  <c r="E15" i="9"/>
  <c r="D11" i="9"/>
  <c r="D12" i="9"/>
  <c r="D13" i="9"/>
  <c r="D14" i="9"/>
  <c r="D15" i="9"/>
  <c r="C11" i="9"/>
  <c r="C12" i="9"/>
  <c r="C13" i="9"/>
  <c r="C14" i="9"/>
  <c r="C15" i="9"/>
  <c r="B11" i="9"/>
  <c r="K5" i="22"/>
  <c r="K6" i="22"/>
  <c r="K7" i="22"/>
  <c r="K8" i="22"/>
  <c r="H6" i="22"/>
  <c r="J6" i="22" s="1"/>
  <c r="H7" i="22"/>
  <c r="J7" i="22" s="1"/>
  <c r="H8" i="22"/>
  <c r="B12" i="9"/>
  <c r="E5" i="21"/>
  <c r="F5" i="21" s="1"/>
  <c r="B5" i="21"/>
  <c r="H5" i="21"/>
  <c r="E6" i="2"/>
  <c r="G6" i="2"/>
  <c r="H6" i="2"/>
  <c r="M5" i="22" l="1"/>
  <c r="G12" i="9"/>
  <c r="G13" i="9"/>
  <c r="G15" i="9"/>
  <c r="G11" i="9"/>
  <c r="G14" i="9"/>
  <c r="B14" i="9"/>
  <c r="B13" i="9"/>
  <c r="B15" i="9"/>
  <c r="E5" i="23"/>
  <c r="D68" i="1" s="1"/>
  <c r="F5" i="24"/>
  <c r="D67" i="1" s="1"/>
  <c r="F5" i="25"/>
  <c r="D64" i="1" s="1"/>
  <c r="F7" i="26"/>
  <c r="B10" i="26" s="1"/>
  <c r="F10" i="26" s="1"/>
  <c r="D63" i="1" s="1"/>
  <c r="F9" i="27"/>
  <c r="M8" i="22"/>
  <c r="M6" i="22"/>
  <c r="M7" i="22"/>
  <c r="I6" i="2"/>
  <c r="D50" i="1" l="1"/>
  <c r="M22" i="22"/>
  <c r="D69" i="1" s="1"/>
  <c r="B12" i="27"/>
  <c r="F12" i="27" s="1"/>
  <c r="D62" i="1" s="1"/>
  <c r="D49" i="1"/>
  <c r="E7" i="21" l="1"/>
  <c r="F7" i="21" s="1"/>
  <c r="E8" i="21"/>
  <c r="F8" i="21" s="1"/>
  <c r="E9" i="21"/>
  <c r="F9" i="21" s="1"/>
  <c r="E10" i="21"/>
  <c r="F10" i="21" s="1"/>
  <c r="E11" i="21"/>
  <c r="F11" i="21" s="1"/>
  <c r="E12" i="21"/>
  <c r="F12" i="21" s="1"/>
  <c r="E6" i="21"/>
  <c r="F6" i="21" s="1"/>
  <c r="H8" i="21"/>
  <c r="I8" i="21" l="1"/>
  <c r="B12" i="21" l="1"/>
  <c r="H11" i="21"/>
  <c r="I11" i="21" s="1"/>
  <c r="B11" i="21"/>
  <c r="H10" i="21"/>
  <c r="I10" i="21" s="1"/>
  <c r="B10" i="21"/>
  <c r="B8" i="21"/>
  <c r="I7" i="21"/>
  <c r="B7" i="21"/>
  <c r="B6" i="21"/>
  <c r="E54" i="2"/>
  <c r="E55" i="2"/>
  <c r="E56" i="2"/>
  <c r="E57" i="2"/>
  <c r="E58" i="2"/>
  <c r="E59" i="2"/>
  <c r="E60" i="2"/>
  <c r="E61" i="2"/>
  <c r="E62" i="2"/>
  <c r="E63" i="2"/>
  <c r="H63" i="2"/>
  <c r="G63" i="2"/>
  <c r="H62" i="2"/>
  <c r="G62" i="2"/>
  <c r="H61" i="2"/>
  <c r="G61" i="2"/>
  <c r="H60" i="2"/>
  <c r="G60" i="2"/>
  <c r="H59" i="2"/>
  <c r="G59" i="2"/>
  <c r="H58" i="2"/>
  <c r="G58" i="2"/>
  <c r="H57" i="2"/>
  <c r="G57" i="2"/>
  <c r="H56" i="2"/>
  <c r="G56" i="2"/>
  <c r="H55" i="2"/>
  <c r="G55" i="2"/>
  <c r="H54" i="2"/>
  <c r="G54" i="2"/>
  <c r="H53" i="2"/>
  <c r="G53" i="2"/>
  <c r="H52" i="2"/>
  <c r="G52" i="2"/>
  <c r="H51" i="2"/>
  <c r="G51" i="2"/>
  <c r="H50" i="2"/>
  <c r="G50" i="2"/>
  <c r="H49" i="2"/>
  <c r="G49" i="2"/>
  <c r="H48" i="2"/>
  <c r="G48" i="2"/>
  <c r="H47" i="2"/>
  <c r="G47" i="2"/>
  <c r="E48" i="2"/>
  <c r="E49" i="2"/>
  <c r="E50" i="2"/>
  <c r="E51" i="2"/>
  <c r="E52" i="2"/>
  <c r="E53" i="2"/>
  <c r="E47" i="2"/>
  <c r="I52" i="2" l="1"/>
  <c r="I6" i="21"/>
  <c r="I58" i="2"/>
  <c r="I56" i="2"/>
  <c r="I54" i="2"/>
  <c r="I48" i="2"/>
  <c r="I61" i="2"/>
  <c r="I60" i="2"/>
  <c r="I53" i="2"/>
  <c r="I62" i="2"/>
  <c r="I47" i="2"/>
  <c r="I51" i="2"/>
  <c r="I55" i="2"/>
  <c r="I63" i="2"/>
  <c r="I57" i="2"/>
  <c r="I59" i="2"/>
  <c r="I49" i="2"/>
  <c r="I50" i="2"/>
  <c r="H34" i="9"/>
  <c r="H35" i="9"/>
  <c r="H33" i="9"/>
  <c r="H44" i="2"/>
  <c r="G44" i="2"/>
  <c r="E44" i="2"/>
  <c r="G46" i="2"/>
  <c r="G45" i="2"/>
  <c r="G43" i="2"/>
  <c r="G42" i="2"/>
  <c r="G41" i="2"/>
  <c r="G40" i="2"/>
  <c r="G39" i="2"/>
  <c r="G38" i="2"/>
  <c r="G37" i="2"/>
  <c r="G36" i="2"/>
  <c r="G35" i="2"/>
  <c r="E35" i="2"/>
  <c r="H35" i="2"/>
  <c r="E36" i="2"/>
  <c r="H36" i="2"/>
  <c r="E37" i="2"/>
  <c r="H37" i="2"/>
  <c r="E38" i="2"/>
  <c r="H38" i="2"/>
  <c r="E39" i="2"/>
  <c r="H39" i="2"/>
  <c r="E40" i="2"/>
  <c r="H40" i="2"/>
  <c r="E41" i="2"/>
  <c r="H41" i="2"/>
  <c r="E42" i="2"/>
  <c r="H42" i="2"/>
  <c r="E43" i="2"/>
  <c r="H43" i="2"/>
  <c r="E45" i="2"/>
  <c r="H45" i="2"/>
  <c r="E46" i="2"/>
  <c r="H46" i="2"/>
  <c r="I46" i="2" l="1"/>
  <c r="I41" i="2"/>
  <c r="I37" i="2"/>
  <c r="I44" i="2"/>
  <c r="I45" i="2"/>
  <c r="I42" i="2"/>
  <c r="I40" i="2"/>
  <c r="I38" i="2"/>
  <c r="I39" i="2"/>
  <c r="I43" i="2"/>
  <c r="I36" i="2"/>
  <c r="I35" i="2"/>
  <c r="E27" i="2" l="1"/>
  <c r="G27" i="2"/>
  <c r="H27" i="2"/>
  <c r="I27" i="2" l="1"/>
  <c r="D5" i="19" l="1"/>
  <c r="B5" i="19"/>
  <c r="F5" i="19" l="1"/>
  <c r="D65" i="1" s="1"/>
  <c r="E33" i="2" l="1"/>
  <c r="G33" i="2"/>
  <c r="H33" i="2"/>
  <c r="I33" i="2" l="1"/>
  <c r="E24" i="2" l="1"/>
  <c r="G24" i="2"/>
  <c r="H24" i="2"/>
  <c r="E25" i="2"/>
  <c r="G25" i="2"/>
  <c r="H25" i="2"/>
  <c r="E26" i="2"/>
  <c r="G26" i="2"/>
  <c r="H26" i="2"/>
  <c r="E7" i="2"/>
  <c r="G7" i="2"/>
  <c r="H7" i="2"/>
  <c r="I26" i="2" l="1"/>
  <c r="I24" i="2"/>
  <c r="I25" i="2"/>
  <c r="I7" i="2"/>
  <c r="H32" i="2" l="1"/>
  <c r="G32" i="2"/>
  <c r="E32" i="2"/>
  <c r="H31" i="2"/>
  <c r="G31" i="2"/>
  <c r="E31" i="2"/>
  <c r="I32" i="2" l="1"/>
  <c r="I31" i="2"/>
  <c r="G5" i="2"/>
  <c r="E13" i="2"/>
  <c r="G13" i="2"/>
  <c r="H13" i="2"/>
  <c r="E14" i="2"/>
  <c r="G14" i="2"/>
  <c r="H14" i="2"/>
  <c r="E15" i="2"/>
  <c r="G15" i="2"/>
  <c r="H15" i="2"/>
  <c r="E16" i="2"/>
  <c r="G16" i="2"/>
  <c r="H16" i="2"/>
  <c r="E17" i="2"/>
  <c r="G17" i="2"/>
  <c r="H17" i="2"/>
  <c r="E18" i="2"/>
  <c r="G18" i="2"/>
  <c r="H18" i="2"/>
  <c r="E19" i="2"/>
  <c r="G19" i="2"/>
  <c r="H19" i="2"/>
  <c r="E20" i="2"/>
  <c r="G20" i="2"/>
  <c r="H20" i="2"/>
  <c r="E21" i="2"/>
  <c r="G21" i="2"/>
  <c r="H21" i="2"/>
  <c r="I18" i="2" l="1"/>
  <c r="I17" i="2"/>
  <c r="I16" i="2"/>
  <c r="I19" i="2"/>
  <c r="I14" i="2"/>
  <c r="I21" i="2"/>
  <c r="I20" i="2"/>
  <c r="I15" i="2"/>
  <c r="I13" i="2"/>
  <c r="E34" i="9"/>
  <c r="F34" i="9"/>
  <c r="G34" i="9"/>
  <c r="E35" i="9"/>
  <c r="F35" i="9"/>
  <c r="G35" i="9"/>
  <c r="E33" i="9"/>
  <c r="F33" i="9"/>
  <c r="G33" i="9"/>
  <c r="I33" i="9" l="1"/>
  <c r="I34" i="9"/>
  <c r="I35" i="9"/>
  <c r="H12" i="2"/>
  <c r="G12" i="2"/>
  <c r="E12" i="2"/>
  <c r="H11" i="2"/>
  <c r="G11" i="2"/>
  <c r="E11" i="2"/>
  <c r="H10" i="2"/>
  <c r="G10" i="2"/>
  <c r="E10" i="2"/>
  <c r="H9" i="2"/>
  <c r="G9" i="2"/>
  <c r="E9" i="2"/>
  <c r="H8" i="2"/>
  <c r="G8" i="2"/>
  <c r="E8" i="2"/>
  <c r="I10" i="2" l="1"/>
  <c r="I12" i="2"/>
  <c r="I11" i="2"/>
  <c r="I9" i="2"/>
  <c r="I8" i="2"/>
  <c r="I36" i="9"/>
  <c r="G4" i="9" s="1"/>
  <c r="E22" i="2" l="1"/>
  <c r="H22" i="2"/>
  <c r="E23" i="2"/>
  <c r="E28" i="2"/>
  <c r="G28" i="2"/>
  <c r="H28" i="2"/>
  <c r="E29" i="2"/>
  <c r="G29" i="2"/>
  <c r="H29" i="2"/>
  <c r="E30" i="2"/>
  <c r="G30" i="2"/>
  <c r="H30" i="2"/>
  <c r="E34" i="2"/>
  <c r="G34" i="2"/>
  <c r="H34" i="2"/>
  <c r="H5" i="2"/>
  <c r="E5" i="2"/>
  <c r="I22" i="2" l="1"/>
  <c r="I23" i="2"/>
  <c r="I30" i="2"/>
  <c r="I34" i="2"/>
  <c r="I28" i="2"/>
  <c r="I29" i="2"/>
  <c r="I5" i="2"/>
  <c r="I64" i="2" l="1"/>
  <c r="B10" i="9" l="1"/>
  <c r="E10" i="9"/>
  <c r="D10" i="9"/>
  <c r="C10" i="9"/>
  <c r="G10" i="9" l="1"/>
  <c r="D61" i="1" l="1"/>
  <c r="G28" i="9" l="1"/>
  <c r="G3" i="9" s="1"/>
  <c r="G5" i="9" s="1"/>
  <c r="D66" i="1" s="1"/>
  <c r="H12" i="21"/>
  <c r="I12" i="21" s="1"/>
  <c r="H9" i="21"/>
  <c r="I9" i="21" s="1"/>
  <c r="I13" i="21" l="1"/>
  <c r="D60" i="1" s="1"/>
  <c r="D70" i="1" s="1"/>
</calcChain>
</file>

<file path=xl/comments1.xml><?xml version="1.0" encoding="utf-8"?>
<comments xmlns="http://schemas.openxmlformats.org/spreadsheetml/2006/main">
  <authors>
    <author>Usuario</author>
  </authors>
  <commentList>
    <comment ref="F9" authorId="0" shapeId="0">
      <text>
        <r>
          <rPr>
            <b/>
            <sz val="9"/>
            <color rgb="FF000000"/>
            <rFont val="Segoe UI"/>
            <family val="2"/>
          </rPr>
          <t>Usuario:</t>
        </r>
        <r>
          <rPr>
            <sz val="9"/>
            <color rgb="FF000000"/>
            <rFont val="Segoe UI"/>
            <family val="2"/>
          </rPr>
          <t xml:space="preserve">
</t>
        </r>
        <r>
          <rPr>
            <sz val="9"/>
            <color rgb="FF000000"/>
            <rFont val="Segoe UI"/>
            <family val="2"/>
          </rPr>
          <t>fonte: TABELA DE TARIFAS BT PREÇOS ABERTOS 01.11.2017 (003)  tarifa de energia B3 demais classes - bandeira verde R$ 0,28608  por kWh</t>
        </r>
      </text>
    </comment>
  </commentList>
</comments>
</file>

<file path=xl/sharedStrings.xml><?xml version="1.0" encoding="utf-8"?>
<sst xmlns="http://schemas.openxmlformats.org/spreadsheetml/2006/main" count="443" uniqueCount="333">
  <si>
    <t>Recursos Humanos Indiretos</t>
  </si>
  <si>
    <t>Escritório de Projetos</t>
  </si>
  <si>
    <t>Nome</t>
  </si>
  <si>
    <t>Custo para o Projeto</t>
  </si>
  <si>
    <t>Total</t>
  </si>
  <si>
    <t>Serviço de Vigilância, Segurança e outros</t>
  </si>
  <si>
    <t>A</t>
  </si>
  <si>
    <t>B</t>
  </si>
  <si>
    <t>C</t>
  </si>
  <si>
    <t>Área total do ITA em m²</t>
  </si>
  <si>
    <t>Serviço de Portaria</t>
  </si>
  <si>
    <t>Serviço de Limpeza</t>
  </si>
  <si>
    <t>Água</t>
  </si>
  <si>
    <t>Valor do metro cúbico</t>
  </si>
  <si>
    <t>D</t>
  </si>
  <si>
    <t>Rateio (A*B*C*D)</t>
  </si>
  <si>
    <t>Nº de dias do projeto</t>
  </si>
  <si>
    <t>Valor do kWh</t>
  </si>
  <si>
    <t>Nº de horas de utilização por dia</t>
  </si>
  <si>
    <t>Instituto Tecnológico de Aeronáutica</t>
  </si>
  <si>
    <t>Parâmetros do projeto, a serem preenchidos pelo Coordenador conforme o Plano de Trabalho aprovado.</t>
  </si>
  <si>
    <t xml:space="preserve">Parâmetros do ITA, previamente preenchidos pelos órgãos competentes do ITA/DCTA de acordo com documentação comprobatória indicada </t>
  </si>
  <si>
    <t xml:space="preserve">TOTAL </t>
  </si>
  <si>
    <t xml:space="preserve">item </t>
  </si>
  <si>
    <t>Valor</t>
  </si>
  <si>
    <t>Método de cálculo</t>
  </si>
  <si>
    <t>Observações</t>
  </si>
  <si>
    <t>Fonte da informação</t>
  </si>
  <si>
    <t>Manutenção da Infraestrutura/Equipamentos</t>
  </si>
  <si>
    <t>proporção de área</t>
  </si>
  <si>
    <t>Rateio (A*B)</t>
  </si>
  <si>
    <t>Valor do metro cúbico de água e esgoto</t>
  </si>
  <si>
    <t>proporção de uso de cada equipamento</t>
  </si>
  <si>
    <t>rateio pelo número de pessoas nos órgãos e laboratorios (50 litros por pessoa por dia)</t>
  </si>
  <si>
    <t>Pessoal</t>
  </si>
  <si>
    <t>Quatidade</t>
  </si>
  <si>
    <t>Remuneração</t>
  </si>
  <si>
    <t>3º Sargentos</t>
  </si>
  <si>
    <t>Soldados S2</t>
  </si>
  <si>
    <t>1º Tenentes</t>
  </si>
  <si>
    <t>Of de Dia</t>
  </si>
  <si>
    <t>Comandante da Guarda ao Portão Principal</t>
  </si>
  <si>
    <t>Portão Principal</t>
  </si>
  <si>
    <t>Estimativa de gasto diário baseado na escala de serviço de 12 de março de 2018 e tabela de soldo de militares</t>
  </si>
  <si>
    <t>Motorista</t>
  </si>
  <si>
    <t>Soldado S2</t>
  </si>
  <si>
    <t>Auxiliar da patrulha</t>
  </si>
  <si>
    <t>Soldado S1</t>
  </si>
  <si>
    <t>Cabo auxiliar</t>
  </si>
  <si>
    <t>Cabo</t>
  </si>
  <si>
    <t>Sargento de dia</t>
  </si>
  <si>
    <t>1º Sargento</t>
  </si>
  <si>
    <t>Total mensal</t>
  </si>
  <si>
    <t>Duração do projeto em meses</t>
  </si>
  <si>
    <t>Rateio (A*B*C/D)</t>
  </si>
  <si>
    <t>tempo de dedicação ao projeto</t>
  </si>
  <si>
    <t>IX - Manutenção de Acervo Bibliográfico</t>
  </si>
  <si>
    <t>Duração de projeto em anos</t>
  </si>
  <si>
    <t>Despesa total  anual com manutenção da infraestrutura/equipamentos no Campus ITA</t>
  </si>
  <si>
    <t>Custo mensal</t>
  </si>
  <si>
    <t xml:space="preserve">Custo anual A*(40/3) </t>
  </si>
  <si>
    <t>E</t>
  </si>
  <si>
    <t>B*D*E</t>
  </si>
  <si>
    <t>Preço de aquisição do equipamento/ software instalado
(R$)</t>
  </si>
  <si>
    <t xml:space="preserve">Nome </t>
  </si>
  <si>
    <t>Pessoal Técnologia da Informação e Comunicação Social</t>
  </si>
  <si>
    <t>Manutenção de Acervo Bibliográfico</t>
  </si>
  <si>
    <t>Proporção de tempo dedicado ao projeto (C/40)</t>
  </si>
  <si>
    <t>F</t>
  </si>
  <si>
    <t>Depreciação Anual
(R$)
(D*E)</t>
  </si>
  <si>
    <t>G</t>
  </si>
  <si>
    <t>Anos de utilização do equipamento durante o projeto</t>
  </si>
  <si>
    <t>Depreciação</t>
  </si>
  <si>
    <t>Energia Elétrica</t>
  </si>
  <si>
    <t>Obs1: O DCTA possuii várias portarias conforme mapa Anexo, mas considerou-se que apenas o Portão Principal atende ao ITA</t>
  </si>
  <si>
    <t>Obs3: Não se considerou pessoal com outras funções como mecânico, eletricista, enfermeiro, etc</t>
  </si>
  <si>
    <t>Obs2: A escala de serviço do dia 12 de março de 2018 foi utilizada como base para estimar quantidade de pessoas envolvidas na Portaria</t>
  </si>
  <si>
    <t>Obs1: A escala de serviço do dia 12 de março de 2018 foi utilizada como base para estimar quantidade de pessoas envolvidas na Portaria</t>
  </si>
  <si>
    <t>Obs1: Custo anual contento 13º salário e 1/3 de adicional de férias</t>
  </si>
  <si>
    <t>Zelador do ITA</t>
  </si>
  <si>
    <t>Obs3: Remuneração do Zelador conforme site transparencia.gov.br</t>
  </si>
  <si>
    <t>Obs1: Contrato de Limpeza e Nota de Crédito se encontram depositados na IPR-DI</t>
  </si>
  <si>
    <t>Obs4: Cópia da escala e da tabela de soldos estão depositados na IPR-PDI</t>
  </si>
  <si>
    <t>Obs2: Cópia da escala e da tabela de soldos estão depositados na IPR-PDI</t>
  </si>
  <si>
    <t>Obs1: Notas de Empenho estão depositadas na IPR-PDI</t>
  </si>
  <si>
    <t>Equipamentos exclusivos do Laboratório</t>
  </si>
  <si>
    <t>Equipamento/Lampada</t>
  </si>
  <si>
    <t>Equipamentos de TI que atendem todo o ITA</t>
  </si>
  <si>
    <t>Rateio (A*B*C*E*F/D)</t>
  </si>
  <si>
    <t>Total de Equipamentos de TI que atendem todo o ITA</t>
  </si>
  <si>
    <t>Total de Equipamentos de uso exclusivo do Laboratório</t>
  </si>
  <si>
    <t>Consolidação</t>
  </si>
  <si>
    <t>Consumo de energia do equipamento em KiloWatts</t>
  </si>
  <si>
    <t>Equipamento</t>
  </si>
  <si>
    <t>No-Break</t>
  </si>
  <si>
    <t>Ar condicionado</t>
  </si>
  <si>
    <t>Servidores + Switches</t>
  </si>
  <si>
    <t>Reitoria</t>
  </si>
  <si>
    <t>Valor a ser lançado no SIGTEC</t>
  </si>
  <si>
    <t>Valor limite de 15%, conforme art. 3º da Resolução nº01/CR/2018</t>
  </si>
  <si>
    <t>____________________________________________________________________</t>
  </si>
  <si>
    <t>"DELIBERAÇÃO ARSESP No 859, de 10 de abril de 2019" Unidade de Negócio RV, tarifa de água R$ 7,76 e tarifa de esgoto R$ 6,25 por metro cúbico</t>
  </si>
  <si>
    <t>TABELA DE TARIFAS EDP SP - "Resolução homologatória No 2.629 - vigente a partir de 23/10/2019" tarifa de energia B3 demais classes - bandeira verde R$ 0,26124  por kWh</t>
  </si>
  <si>
    <t>Publicação DOU de 09 de junho de 2021, nº 106, Seção 3 - Extrato 14/2021 -gastos com limpeza no Campus referente ao ano 2021</t>
  </si>
  <si>
    <t>http://www.portaltransparencia.gov.br/servidores/76921127</t>
  </si>
  <si>
    <t>http://www.portaltransparencia.gov.br/servidores/75913200</t>
  </si>
  <si>
    <t>http://www.portaltransparencia.gov.br/servidores/84316814</t>
  </si>
  <si>
    <t>http://www.portaltransparencia.gov.br/servidores/79322255</t>
  </si>
  <si>
    <t>http://www.portaltransparencia.gov.br/servidores/77312342</t>
  </si>
  <si>
    <t>http://www.portaltransparencia.gov.br/servidores/84109155</t>
  </si>
  <si>
    <t>http://www.portaltransparencia.gov.br/servidores/73219217</t>
  </si>
  <si>
    <t>http://www.portaltransparencia.gov.br/servidores/74817228</t>
  </si>
  <si>
    <t>http://www.portaltransparencia.gov.br/servidores/78620264</t>
  </si>
  <si>
    <t>http://www.portaltransparencia.gov.br/servidores/72017577</t>
  </si>
  <si>
    <t>http://www.portaltransparencia.gov.br/servidores/75213675</t>
  </si>
  <si>
    <t>http://www.portaltransparencia.gov.br/servidores/83726271</t>
  </si>
  <si>
    <t>http://www.portaltransparencia.gov.br/servidores/83312055</t>
  </si>
  <si>
    <t>http://www.portaltransparencia.gov.br/servidores/85922740</t>
  </si>
  <si>
    <t>http://www.portaltransparencia.gov.br/servidores/73617244</t>
  </si>
  <si>
    <t>http://www.portaltransparencia.gov.br/servidores/84211743</t>
  </si>
  <si>
    <t>http://www.portaltransparencia.gov.br/servidores/75508865</t>
  </si>
  <si>
    <t>http://www.portaltransparencia.gov.br/servidores/79520772</t>
  </si>
  <si>
    <t>http://www.portaltransparencia.gov.br/servidores/85525300</t>
  </si>
  <si>
    <t>http://www.portaltransparencia.gov.br/servidores/74313669</t>
  </si>
  <si>
    <t>http://www.portaltransparencia.gov.br/servidores/79919461</t>
  </si>
  <si>
    <t>http://www.portaltransparencia.gov.br/servidores/85926789</t>
  </si>
  <si>
    <t>http://www.portaltransparencia.gov.br/servidores/82123059</t>
  </si>
  <si>
    <t>http://www.portaltransparencia.gov.br/servidores/77906879</t>
  </si>
  <si>
    <t>http://www.portaltransparencia.gov.br/servidores/73408599</t>
  </si>
  <si>
    <t>http://www.portaltransparencia.gov.br/servidores/82612811</t>
  </si>
  <si>
    <t>http://www.portaltransparencia.gov.br/servidores/84607096</t>
  </si>
  <si>
    <t>http://www.portaltransparencia.gov.br/servidores/75416912</t>
  </si>
  <si>
    <t>http://www.portaltransparencia.gov.br/servidores/80624131</t>
  </si>
  <si>
    <t>http://www.portaltransparencia.gov.br/servidores/81215099</t>
  </si>
  <si>
    <t>http://www.portaltransparencia.gov.br/servidores/76616339</t>
  </si>
  <si>
    <t>http://www.portaltransparencia.gov.br/servidores/83316133</t>
  </si>
  <si>
    <t>http://www.portaltransparencia.gov.br/servidores/81417864</t>
  </si>
  <si>
    <t>http://www.portaltransparencia.gov.br/servidores/85709236</t>
  </si>
  <si>
    <t>http://portaltransparencia.gov.br/servidores/74624778</t>
  </si>
  <si>
    <t>http://www.portaltransparencia.gov.br/servidores/74217550</t>
  </si>
  <si>
    <t>http://www.portaltransparencia.gov.br/servidores/83722893</t>
  </si>
  <si>
    <t>http://www.portaltransparencia.gov.br/servidores/77013932</t>
  </si>
  <si>
    <t>http://www.portaltransparencia.gov.br/servidores/75815249</t>
  </si>
  <si>
    <t>http://www.portaltransparencia.gov.br/servidores/78625632</t>
  </si>
  <si>
    <t>http://www.portaltransparencia.gov.br/servidores/83818324</t>
  </si>
  <si>
    <t>http://www.portaltransparencia.gov.br/servidores/83216997</t>
  </si>
  <si>
    <t>http://www.portaltransparencia.gov.br/servidores/82407876</t>
  </si>
  <si>
    <t>http://www.portaltransparencia.gov.br/servidores/78219540</t>
  </si>
  <si>
    <t>http://www.portaltransparencia.gov.br/servidores/84020648</t>
  </si>
  <si>
    <t>http://www.portaltransparencia.gov.br/servidores/84712903</t>
  </si>
  <si>
    <t>Pessoal Técnico - Biblioteca e Acervo Bibliográfico</t>
  </si>
  <si>
    <t>Obs1: Valores de tarifa conforme "DELIBERAÇÃO ARSESP No 1150, de 08 de abril de 2021" Unidade de Negócio RV, tarifa de água R$ 14,57 e tarifa de esgoto R$ 11,61 por metro cúbico (Comercial/Industrial/Publica sem Contrato)</t>
  </si>
  <si>
    <t>Obs1: Valores de tarifa conforme TABELA DE TARIFAS EDP SP - "Resolução homologatória No 2.790 - vigente a partir de 22/10/2019" - Modalidade tarifária Verde - Grupo A - bandeira verde R$ 0,37861</t>
  </si>
  <si>
    <t>http://portaltransparencia.gov.br/servidores/85409647</t>
  </si>
  <si>
    <t>http://portaltransparencia.gov.br/servidores/85918798</t>
  </si>
  <si>
    <t>http://portaltransparencia.gov.br/servidores/84810383</t>
  </si>
  <si>
    <t>http://portaltransparencia.gov.br/servidores/76807002</t>
  </si>
  <si>
    <t>http://portaltransparencia.gov.br/servidores/75711485</t>
  </si>
  <si>
    <t>http://portaltransparencia.gov.br/servidores/83321386</t>
  </si>
  <si>
    <t>http://portaltransparencia.gov.br/servidores/75622046</t>
  </si>
  <si>
    <t>http://portaltransparencia.gov.br/servidores/82025093</t>
  </si>
  <si>
    <t>http://portaltransparencia.gov.br/servidores/77914209</t>
  </si>
  <si>
    <t>http://portaltransparencia.gov.br/servidores/78021119</t>
  </si>
  <si>
    <t>http://portaltransparencia.gov.br/servidores/76919174</t>
  </si>
  <si>
    <t>http://portaltransparencia.gov.br/servidores/81909309</t>
  </si>
  <si>
    <t>http://portaltransparencia.gov.br/servidores/83519226</t>
  </si>
  <si>
    <t>http://portaltransparencia.gov.br/servidores/74924375</t>
  </si>
  <si>
    <t>http://portaltransparencia.gov.br/servidores/83521285</t>
  </si>
  <si>
    <t>http://portaltransparencia.gov.br/servidores/85226648</t>
  </si>
  <si>
    <t>http://portaltransparencia.gov.br/servidores/74607811</t>
  </si>
  <si>
    <t>Obs2: Valores coletados no site transparência.gov.br - consulta em 06/07/2021</t>
  </si>
  <si>
    <t>Total horas no período</t>
  </si>
  <si>
    <t>I - Recursos Humanos Diretos</t>
  </si>
  <si>
    <t>Chefia Divisão e Lab</t>
  </si>
  <si>
    <t>Custo annual (A*40/3)</t>
  </si>
  <si>
    <t>Custo hora (B/(40*52))</t>
  </si>
  <si>
    <t>Tempo dedicado ao projeto em horas semanais</t>
  </si>
  <si>
    <t>---</t>
  </si>
  <si>
    <t>Recursos Humanos Diretos</t>
  </si>
  <si>
    <t>NOBREAK APC BZ2200BI-BR</t>
  </si>
  <si>
    <t>SWITCH WS-C2960-X-48TD-L + ANTENAS - AIR-ANT2524DW-R</t>
  </si>
  <si>
    <t>LASER TRACKER AT960 + SCANNER PARA LASER TRACKER  + KIT DE ACESSÓRIOS</t>
  </si>
  <si>
    <t>Data da Acquisição</t>
  </si>
  <si>
    <t>Computadores e acessórios usados pela equipe executora</t>
  </si>
  <si>
    <t>Valor da Nota Fiscal</t>
  </si>
  <si>
    <t>N° pessoas no projeto</t>
  </si>
  <si>
    <t>Data de início do período</t>
  </si>
  <si>
    <t>Data de final do projeto</t>
  </si>
  <si>
    <t>Lista de equipamentos utilizados no projeto</t>
  </si>
  <si>
    <t>m² do laboratório</t>
  </si>
  <si>
    <t>Depreciação até</t>
  </si>
  <si>
    <t>Depreciação acumulada ao final do projeto (F*G*K/40)</t>
  </si>
  <si>
    <t>388 E INVOICE BR 900781440</t>
  </si>
  <si>
    <t>Total do projeto</t>
  </si>
  <si>
    <t>Data de emissão da NF</t>
  </si>
  <si>
    <t>Nota Fiscal</t>
  </si>
  <si>
    <t>H</t>
  </si>
  <si>
    <t>I</t>
  </si>
  <si>
    <t>J</t>
  </si>
  <si>
    <t>Preço de aquisição do equipamento atualizado pelo IGP-DI
(R$) (B*C)</t>
  </si>
  <si>
    <t>Horas de uso por dia</t>
  </si>
  <si>
    <t>Obs2: As notas fiscais/empenho ficarão depositadas na pasta do projeto da IPR-PDI</t>
  </si>
  <si>
    <t>Obs1: Taxa anual de depreciação de equipamento usualmente é 20% (equipamentos de informática e sw) ou 10% (outros equipamentos)</t>
  </si>
  <si>
    <t>X - Depreciação equipamentos e infraestrutura</t>
  </si>
  <si>
    <t>Notas de Empenho/Credito de 2020 com gastos com manutenção (consulta Portal da Transparência 07/07/2021)</t>
  </si>
  <si>
    <t>Consumo de energia do equipamento</t>
  </si>
  <si>
    <t>N° pessoas do projeto</t>
  </si>
  <si>
    <t>Pessoal Divisão de Projetos e Pro-reitoria IPR</t>
  </si>
  <si>
    <t>Manutenção Predial e Infraestrutura</t>
  </si>
  <si>
    <t>Equipe envolvida no projeto</t>
  </si>
  <si>
    <t>Pessoal técnico envolvidos no projeto (excluído bolsistas)</t>
  </si>
  <si>
    <t>Consumo de energia (kW)</t>
  </si>
  <si>
    <t>Nº de horas de uso por dia</t>
  </si>
  <si>
    <t>Descrição</t>
  </si>
  <si>
    <t>Anexo II do Edital 124/2020 (contrato de limpeza)</t>
  </si>
  <si>
    <t>Comprovação</t>
  </si>
  <si>
    <t xml:space="preserve"> Tempo em horas semanais</t>
  </si>
  <si>
    <t xml:space="preserve"> Tempoem horas semanais</t>
  </si>
  <si>
    <t>Duração do projeto em anos</t>
  </si>
  <si>
    <t xml:space="preserve">Despesa  anual do setor de documentação </t>
  </si>
  <si>
    <t>Despesa do setor de documentação</t>
  </si>
  <si>
    <t>Detalhamento enviado pela IA-DOC, rateado por área de concentração dos PPGs</t>
  </si>
  <si>
    <t>rateio por área de concentraçao relacionada ao projeto</t>
  </si>
  <si>
    <t>Taxa anual de depreciação
(licenças de 5 anos) (PCs segundo a IN RFB nº4, de 30 de janeiro de 1985)</t>
  </si>
  <si>
    <t>Despesa total do ITA com manutenção da infraestrutura</t>
  </si>
  <si>
    <t>m3 por pessoa por dia</t>
  </si>
  <si>
    <t>Despesa mensal com vigilância no campus</t>
  </si>
  <si>
    <t>Número de áreas de concentração envolvidas</t>
  </si>
  <si>
    <t>Equipamentos exclusivos do laboratório</t>
  </si>
  <si>
    <t>Despesa anual do ITA com serviço de  limpeza</t>
  </si>
  <si>
    <t xml:space="preserve">Área total do ITA em m² </t>
  </si>
  <si>
    <t>Despesa mensal com vigilância no Campus</t>
  </si>
  <si>
    <t>Obs1: Depesas são rateadas por área de concentração</t>
  </si>
  <si>
    <t>Obs2: Comprovantes de despesas ficam disponíveis na IA-DOC</t>
  </si>
  <si>
    <t>Despesa mensal com serviço de portaria do campus</t>
  </si>
  <si>
    <t>Despesa anual com serviço de limpeza do ITA</t>
  </si>
  <si>
    <t>Obs4: Remuneração segundo Lei 13.954, de 16 de Dezembro de 2019 (DO 17/12/2019 - Ed. 243. Seção 1 Pg. 2)</t>
  </si>
  <si>
    <t>Obs5: Remuneração segundo Lei 13.954, de 16 de Dezembro de 2019 (DO 17/12/2019 - Ed. 243. Seção 1 Pg. 2)</t>
  </si>
  <si>
    <t>CPF</t>
  </si>
  <si>
    <t>serviços e despesas acima listados</t>
  </si>
  <si>
    <t>II - Recursos Humanos Indiretos</t>
  </si>
  <si>
    <t>III - Serviço de Vigilância, Segurança e outros</t>
  </si>
  <si>
    <t>IV - Serviço de Portaria</t>
  </si>
  <si>
    <t>V - Serviço de Limpeza</t>
  </si>
  <si>
    <t>VI - Água</t>
  </si>
  <si>
    <t>VII - Energia Eletrica</t>
  </si>
  <si>
    <t>VIII - Manutenção de Infraestrura e Equipamentos</t>
  </si>
  <si>
    <t>Indice de correção
IGP - DI (BACEN)</t>
  </si>
  <si>
    <t>Rugosímetro Portátil Surtronic S128 com acessórios</t>
  </si>
  <si>
    <t>Microdurômetro Universal Mod. Durscan 50</t>
  </si>
  <si>
    <t>Equipamento de metrologia</t>
  </si>
  <si>
    <t>Data ao lado para referência de cálculo do período contábil. Projeto se encerra em 14/12/2023</t>
  </si>
  <si>
    <t>Microscópio eletrônico por varredura, Cs 3200 Camscan - Oxford</t>
  </si>
  <si>
    <t>Pró-Reitor de Pesquisa e Relacionamento Institucional</t>
  </si>
  <si>
    <t>São José dos Campos, 02 de abril de 2024</t>
  </si>
  <si>
    <t>Prof Dr Maurício Vicente Donadon</t>
  </si>
  <si>
    <t>Ressarcimento de Custos Institucionais de Projetos (RCIP)</t>
  </si>
  <si>
    <t>Coordenador Responsável: XXX</t>
  </si>
  <si>
    <t>Projeto: XXX</t>
  </si>
  <si>
    <t>Nome do Laboratório</t>
  </si>
  <si>
    <t>xx</t>
  </si>
  <si>
    <t>Pesquisador/Técnico 1</t>
  </si>
  <si>
    <t>Pesquisador/Técnico 2</t>
  </si>
  <si>
    <t>Pesquisador/Técnico 3</t>
  </si>
  <si>
    <t>Pesquisador/Técnico 4</t>
  </si>
  <si>
    <t>Pesquisador/Técnico 5</t>
  </si>
  <si>
    <t>Pesquisador/Técnico 6</t>
  </si>
  <si>
    <t>Pesquisador/Técnico 7</t>
  </si>
  <si>
    <t>Pesquisador/Técnico 8</t>
  </si>
  <si>
    <t>Equipamento 1</t>
  </si>
  <si>
    <t>Equipamento 2</t>
  </si>
  <si>
    <t>Equipamento 3</t>
  </si>
  <si>
    <t>Equipamento 4</t>
  </si>
  <si>
    <t>Equipamento 5</t>
  </si>
  <si>
    <t>Equipamento 6</t>
  </si>
  <si>
    <t xml:space="preserve">Pesquisador  </t>
  </si>
  <si>
    <t>IPR 1</t>
  </si>
  <si>
    <t>IPR  2</t>
  </si>
  <si>
    <t>IPR 3</t>
  </si>
  <si>
    <t>IPR 4</t>
  </si>
  <si>
    <t>IPR 5</t>
  </si>
  <si>
    <t>IPR 6</t>
  </si>
  <si>
    <t>EP 1</t>
  </si>
  <si>
    <t>EP 2</t>
  </si>
  <si>
    <t>EP 3</t>
  </si>
  <si>
    <t>EP 4</t>
  </si>
  <si>
    <t>EP 5</t>
  </si>
  <si>
    <t>EP 6</t>
  </si>
  <si>
    <t>EP 7</t>
  </si>
  <si>
    <t>BIB 1</t>
  </si>
  <si>
    <t>BIB 2</t>
  </si>
  <si>
    <t>BIB 3</t>
  </si>
  <si>
    <t>BIB 4</t>
  </si>
  <si>
    <t>BIB 5</t>
  </si>
  <si>
    <t>BIB 6</t>
  </si>
  <si>
    <t>BIB 7</t>
  </si>
  <si>
    <t>BIB 8</t>
  </si>
  <si>
    <t>BIB 9</t>
  </si>
  <si>
    <t>BIB 11</t>
  </si>
  <si>
    <t>BIB 10</t>
  </si>
  <si>
    <t>BIB 12</t>
  </si>
  <si>
    <t>MP 1</t>
  </si>
  <si>
    <t>MP 2</t>
  </si>
  <si>
    <t>MP 3</t>
  </si>
  <si>
    <t>MP 4</t>
  </si>
  <si>
    <t>MP 5</t>
  </si>
  <si>
    <t>MP 6</t>
  </si>
  <si>
    <t>MP 7</t>
  </si>
  <si>
    <t>MP 8</t>
  </si>
  <si>
    <t>MP 9</t>
  </si>
  <si>
    <t>MP 10</t>
  </si>
  <si>
    <t>MP 11</t>
  </si>
  <si>
    <t>MP 12</t>
  </si>
  <si>
    <t>MP 13</t>
  </si>
  <si>
    <t>MP 14</t>
  </si>
  <si>
    <t>MP 15</t>
  </si>
  <si>
    <t>MP 16</t>
  </si>
  <si>
    <t>MP 17</t>
  </si>
  <si>
    <t>TI 1</t>
  </si>
  <si>
    <t>TI  2</t>
  </si>
  <si>
    <t>TI 3</t>
  </si>
  <si>
    <t>TI 4</t>
  </si>
  <si>
    <t>TI5</t>
  </si>
  <si>
    <t>TI 6</t>
  </si>
  <si>
    <t>TI7</t>
  </si>
  <si>
    <t>TI8</t>
  </si>
  <si>
    <t>TI 9</t>
  </si>
  <si>
    <t>TI 10</t>
  </si>
  <si>
    <t>TI 11</t>
  </si>
  <si>
    <t>TI 12</t>
  </si>
  <si>
    <t>TI 13</t>
  </si>
  <si>
    <t>TI 14</t>
  </si>
  <si>
    <t>XXX.XXX.XXX-XX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</si>
</sst>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0"/>
    <numFmt numFmtId="165" formatCode="_-* #,##0_-;\-* #,##0_-;_-* &quot;-&quot;??_-;_-@_-"/>
    <numFmt numFmtId="166" formatCode="0.0"/>
    <numFmt numFmtId="167" formatCode="_-[$R$-416]\ * #,##0.00_-;\-[$R$-416]\ * #,##0.00_-;_-[$R$-416]\ * &quot;-&quot;??_-;_-@_-"/>
  </numFmts>
  <fonts count="3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sz val="12"/>
      <color theme="1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 tint="-0.249977111117893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color rgb="FF000000"/>
      <name val="Segoe UI"/>
      <family val="2"/>
    </font>
    <font>
      <sz val="9"/>
      <color rgb="FF000000"/>
      <name val="Segoe U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theme="0" tint="-4.9989318521683403E-2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3F3F3F"/>
      </top>
      <bottom style="thin">
        <color indexed="64"/>
      </bottom>
      <diagonal/>
    </border>
    <border>
      <left/>
      <right/>
      <top style="thin">
        <color rgb="FF3F3F3F"/>
      </top>
      <bottom style="thin">
        <color indexed="64"/>
      </bottom>
      <diagonal/>
    </border>
    <border>
      <left/>
      <right style="thin">
        <color indexed="64"/>
      </right>
      <top style="thin">
        <color rgb="FF3F3F3F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4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18" applyNumberFormat="0" applyFill="0" applyAlignment="0" applyProtection="0"/>
    <xf numFmtId="0" fontId="4" fillId="0" borderId="19" applyNumberFormat="0" applyFill="0" applyAlignment="0" applyProtection="0"/>
    <xf numFmtId="0" fontId="5" fillId="4" borderId="20" applyNumberFormat="0" applyAlignment="0" applyProtection="0"/>
    <xf numFmtId="0" fontId="6" fillId="5" borderId="21" applyNumberFormat="0" applyAlignment="0" applyProtection="0"/>
    <xf numFmtId="0" fontId="8" fillId="7" borderId="0" applyNumberFormat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0" fillId="0" borderId="0" applyNumberFormat="0" applyFill="0" applyBorder="0" applyAlignment="0" applyProtection="0"/>
  </cellStyleXfs>
  <cellXfs count="23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44" fontId="0" fillId="2" borderId="6" xfId="2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2" fontId="0" fillId="2" borderId="8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/>
    </xf>
    <xf numFmtId="1" fontId="0" fillId="2" borderId="7" xfId="2" applyNumberFormat="1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44" fontId="0" fillId="2" borderId="14" xfId="2" applyFont="1" applyFill="1" applyBorder="1"/>
    <xf numFmtId="1" fontId="0" fillId="2" borderId="8" xfId="2" applyNumberFormat="1" applyFont="1" applyFill="1" applyBorder="1"/>
    <xf numFmtId="0" fontId="0" fillId="2" borderId="15" xfId="0" applyFill="1" applyBorder="1" applyAlignment="1">
      <alignment horizontal="center" vertical="center" wrapText="1"/>
    </xf>
    <xf numFmtId="0" fontId="0" fillId="3" borderId="37" xfId="0" applyFill="1" applyBorder="1"/>
    <xf numFmtId="0" fontId="0" fillId="3" borderId="38" xfId="0" applyFill="1" applyBorder="1"/>
    <xf numFmtId="0" fontId="0" fillId="3" borderId="40" xfId="0" applyFill="1" applyBorder="1"/>
    <xf numFmtId="0" fontId="0" fillId="3" borderId="0" xfId="0" applyFill="1"/>
    <xf numFmtId="0" fontId="4" fillId="3" borderId="19" xfId="5" applyFill="1"/>
    <xf numFmtId="0" fontId="0" fillId="3" borderId="40" xfId="0" applyFill="1" applyBorder="1" applyAlignment="1">
      <alignment horizontal="center" vertical="center" wrapText="1"/>
    </xf>
    <xf numFmtId="0" fontId="0" fillId="3" borderId="41" xfId="0" applyFill="1" applyBorder="1"/>
    <xf numFmtId="0" fontId="3" fillId="3" borderId="17" xfId="4" applyFill="1" applyBorder="1"/>
    <xf numFmtId="0" fontId="3" fillId="3" borderId="41" xfId="4" applyFill="1" applyBorder="1"/>
    <xf numFmtId="0" fontId="0" fillId="3" borderId="43" xfId="0" applyFill="1" applyBorder="1"/>
    <xf numFmtId="0" fontId="0" fillId="3" borderId="42" xfId="0" applyFill="1" applyBorder="1"/>
    <xf numFmtId="44" fontId="0" fillId="2" borderId="1" xfId="2" applyFont="1" applyFill="1" applyBorder="1"/>
    <xf numFmtId="44" fontId="0" fillId="2" borderId="1" xfId="2" applyFont="1" applyFill="1" applyBorder="1" applyAlignment="1">
      <alignment horizontal="center" vertical="center"/>
    </xf>
    <xf numFmtId="0" fontId="0" fillId="2" borderId="15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2" fontId="0" fillId="2" borderId="14" xfId="0" applyNumberFormat="1" applyFill="1" applyBorder="1"/>
    <xf numFmtId="44" fontId="0" fillId="2" borderId="7" xfId="2" applyFont="1" applyFill="1" applyBorder="1" applyAlignment="1"/>
    <xf numFmtId="2" fontId="0" fillId="2" borderId="16" xfId="2" applyNumberFormat="1" applyFont="1" applyFill="1" applyBorder="1" applyAlignment="1"/>
    <xf numFmtId="44" fontId="0" fillId="2" borderId="7" xfId="2" applyFont="1" applyFill="1" applyBorder="1"/>
    <xf numFmtId="164" fontId="0" fillId="2" borderId="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1" fontId="0" fillId="2" borderId="1" xfId="2" applyNumberFormat="1" applyFont="1" applyFill="1" applyBorder="1"/>
    <xf numFmtId="44" fontId="0" fillId="2" borderId="6" xfId="0" applyNumberFormat="1" applyFill="1" applyBorder="1"/>
    <xf numFmtId="44" fontId="7" fillId="2" borderId="9" xfId="2" applyFont="1" applyFill="1" applyBorder="1"/>
    <xf numFmtId="44" fontId="7" fillId="2" borderId="9" xfId="0" applyNumberFormat="1" applyFont="1" applyFill="1" applyBorder="1"/>
    <xf numFmtId="44" fontId="7" fillId="2" borderId="9" xfId="0" applyNumberFormat="1" applyFont="1" applyFill="1" applyBorder="1" applyAlignment="1">
      <alignment horizontal="center" vertical="center" wrapText="1"/>
    </xf>
    <xf numFmtId="0" fontId="0" fillId="2" borderId="42" xfId="0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/>
    </xf>
    <xf numFmtId="2" fontId="0" fillId="2" borderId="1" xfId="0" applyNumberFormat="1" applyFill="1" applyBorder="1"/>
    <xf numFmtId="0" fontId="10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44" fontId="7" fillId="2" borderId="9" xfId="0" applyNumberFormat="1" applyFont="1" applyFill="1" applyBorder="1" applyAlignment="1">
      <alignment horizontal="center" vertical="center"/>
    </xf>
    <xf numFmtId="44" fontId="0" fillId="2" borderId="4" xfId="0" applyNumberForma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4" fontId="0" fillId="2" borderId="6" xfId="0" applyNumberFormat="1" applyFill="1" applyBorder="1" applyAlignment="1">
      <alignment horizontal="center" vertical="center" wrapText="1"/>
    </xf>
    <xf numFmtId="43" fontId="0" fillId="0" borderId="0" xfId="1" applyFont="1" applyFill="1" applyBorder="1"/>
    <xf numFmtId="44" fontId="0" fillId="0" borderId="0" xfId="0" applyNumberFormat="1"/>
    <xf numFmtId="0" fontId="0" fillId="3" borderId="0" xfId="0" applyFill="1" applyAlignment="1">
      <alignment horizontal="left"/>
    </xf>
    <xf numFmtId="0" fontId="12" fillId="3" borderId="0" xfId="0" applyFont="1" applyFill="1"/>
    <xf numFmtId="0" fontId="13" fillId="6" borderId="22" xfId="6" applyFont="1" applyFill="1" applyBorder="1"/>
    <xf numFmtId="0" fontId="13" fillId="6" borderId="23" xfId="6" applyFont="1" applyFill="1" applyBorder="1"/>
    <xf numFmtId="0" fontId="13" fillId="6" borderId="24" xfId="6" applyFont="1" applyFill="1" applyBorder="1"/>
    <xf numFmtId="0" fontId="14" fillId="8" borderId="21" xfId="7" applyFont="1" applyFill="1"/>
    <xf numFmtId="0" fontId="14" fillId="8" borderId="26" xfId="7" applyFont="1" applyFill="1" applyBorder="1"/>
    <xf numFmtId="0" fontId="14" fillId="8" borderId="27" xfId="7" applyFont="1" applyFill="1" applyBorder="1"/>
    <xf numFmtId="0" fontId="14" fillId="8" borderId="28" xfId="7" applyFont="1" applyFill="1" applyBorder="1"/>
    <xf numFmtId="3" fontId="15" fillId="0" borderId="0" xfId="0" applyNumberFormat="1" applyFont="1"/>
    <xf numFmtId="0" fontId="12" fillId="2" borderId="35" xfId="0" applyFont="1" applyFill="1" applyBorder="1"/>
    <xf numFmtId="0" fontId="12" fillId="2" borderId="36" xfId="0" applyFont="1" applyFill="1" applyBorder="1"/>
    <xf numFmtId="0" fontId="12" fillId="2" borderId="1" xfId="0" applyFont="1" applyFill="1" applyBorder="1" applyAlignment="1">
      <alignment horizontal="left" vertical="center" wrapText="1"/>
    </xf>
    <xf numFmtId="1" fontId="16" fillId="3" borderId="1" xfId="0" applyNumberFormat="1" applyFont="1" applyFill="1" applyBorder="1"/>
    <xf numFmtId="0" fontId="12" fillId="2" borderId="25" xfId="0" applyFont="1" applyFill="1" applyBorder="1"/>
    <xf numFmtId="0" fontId="12" fillId="2" borderId="15" xfId="0" applyFont="1" applyFill="1" applyBorder="1"/>
    <xf numFmtId="14" fontId="16" fillId="3" borderId="1" xfId="0" applyNumberFormat="1" applyFont="1" applyFill="1" applyBorder="1"/>
    <xf numFmtId="2" fontId="16" fillId="3" borderId="1" xfId="0" applyNumberFormat="1" applyFont="1" applyFill="1" applyBorder="1"/>
    <xf numFmtId="0" fontId="16" fillId="3" borderId="1" xfId="0" applyFont="1" applyFill="1" applyBorder="1" applyAlignment="1">
      <alignment horizontal="left" vertical="center" wrapText="1"/>
    </xf>
    <xf numFmtId="0" fontId="12" fillId="0" borderId="0" xfId="0" applyFont="1"/>
    <xf numFmtId="0" fontId="18" fillId="0" borderId="1" xfId="0" applyFont="1" applyBorder="1" applyAlignment="1">
      <alignment horizontal="left" vertical="center" wrapText="1"/>
    </xf>
    <xf numFmtId="2" fontId="18" fillId="0" borderId="1" xfId="0" applyNumberFormat="1" applyFont="1" applyBorder="1"/>
    <xf numFmtId="0" fontId="17" fillId="8" borderId="1" xfId="0" applyFont="1" applyFill="1" applyBorder="1" applyAlignment="1">
      <alignment horizontal="left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7" fillId="8" borderId="15" xfId="0" applyFont="1" applyFill="1" applyBorder="1" applyAlignment="1">
      <alignment horizontal="center" vertical="center" wrapText="1"/>
    </xf>
    <xf numFmtId="2" fontId="19" fillId="3" borderId="1" xfId="8" applyNumberFormat="1" applyFont="1" applyFill="1" applyBorder="1"/>
    <xf numFmtId="0" fontId="14" fillId="5" borderId="29" xfId="7" applyFont="1" applyBorder="1"/>
    <xf numFmtId="0" fontId="14" fillId="5" borderId="30" xfId="7" applyFont="1" applyBorder="1"/>
    <xf numFmtId="0" fontId="14" fillId="5" borderId="31" xfId="7" applyFont="1" applyBorder="1"/>
    <xf numFmtId="0" fontId="14" fillId="5" borderId="32" xfId="7" applyFont="1" applyBorder="1"/>
    <xf numFmtId="165" fontId="12" fillId="2" borderId="1" xfId="1" applyNumberFormat="1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vertical="center"/>
    </xf>
    <xf numFmtId="44" fontId="12" fillId="2" borderId="1" xfId="2" applyFont="1" applyFill="1" applyBorder="1" applyAlignment="1">
      <alignment horizontal="center" vertical="center"/>
    </xf>
    <xf numFmtId="44" fontId="12" fillId="2" borderId="1" xfId="12" applyFont="1" applyFill="1" applyBorder="1" applyAlignment="1">
      <alignment horizontal="center" vertical="center"/>
    </xf>
    <xf numFmtId="0" fontId="16" fillId="2" borderId="1" xfId="8" applyFont="1" applyFill="1" applyBorder="1" applyAlignment="1">
      <alignment horizontal="left" vertical="center" wrapText="1"/>
    </xf>
    <xf numFmtId="44" fontId="16" fillId="2" borderId="15" xfId="0" applyNumberFormat="1" applyFont="1" applyFill="1" applyBorder="1"/>
    <xf numFmtId="0" fontId="16" fillId="2" borderId="25" xfId="0" applyFont="1" applyFill="1" applyBorder="1"/>
    <xf numFmtId="0" fontId="16" fillId="2" borderId="15" xfId="0" applyFont="1" applyFill="1" applyBorder="1"/>
    <xf numFmtId="0" fontId="16" fillId="2" borderId="1" xfId="0" applyFont="1" applyFill="1" applyBorder="1" applyAlignment="1">
      <alignment horizontal="left" vertical="center" wrapText="1"/>
    </xf>
    <xf numFmtId="44" fontId="16" fillId="2" borderId="15" xfId="2" applyFont="1" applyFill="1" applyBorder="1"/>
    <xf numFmtId="0" fontId="20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/>
    <xf numFmtId="0" fontId="12" fillId="3" borderId="0" xfId="0" applyFont="1" applyFill="1" applyAlignment="1">
      <alignment horizontal="left"/>
    </xf>
    <xf numFmtId="2" fontId="19" fillId="0" borderId="1" xfId="8" applyNumberFormat="1" applyFont="1" applyFill="1" applyBorder="1"/>
    <xf numFmtId="8" fontId="21" fillId="2" borderId="1" xfId="0" applyNumberFormat="1" applyFont="1" applyFill="1" applyBorder="1"/>
    <xf numFmtId="0" fontId="21" fillId="2" borderId="1" xfId="0" applyFont="1" applyFill="1" applyBorder="1" applyAlignment="1">
      <alignment horizontal="left" vertical="center" wrapText="1"/>
    </xf>
    <xf numFmtId="9" fontId="22" fillId="2" borderId="1" xfId="0" applyNumberFormat="1" applyFont="1" applyFill="1" applyBorder="1"/>
    <xf numFmtId="44" fontId="23" fillId="2" borderId="15" xfId="0" applyNumberFormat="1" applyFont="1" applyFill="1" applyBorder="1"/>
    <xf numFmtId="0" fontId="0" fillId="2" borderId="5" xfId="0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/>
    </xf>
    <xf numFmtId="0" fontId="1" fillId="3" borderId="0" xfId="0" applyFont="1" applyFill="1" applyAlignment="1">
      <alignment horizontal="left"/>
    </xf>
    <xf numFmtId="2" fontId="0" fillId="2" borderId="1" xfId="3" applyNumberFormat="1" applyFont="1" applyFill="1" applyBorder="1" applyAlignment="1">
      <alignment horizontal="center" vertical="center"/>
    </xf>
    <xf numFmtId="44" fontId="1" fillId="2" borderId="1" xfId="22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15" xfId="0" applyFill="1" applyBorder="1" applyAlignment="1">
      <alignment horizontal="center" vertical="center"/>
    </xf>
    <xf numFmtId="43" fontId="0" fillId="0" borderId="0" xfId="0" applyNumberFormat="1"/>
    <xf numFmtId="0" fontId="1" fillId="2" borderId="25" xfId="0" applyFont="1" applyFill="1" applyBorder="1"/>
    <xf numFmtId="2" fontId="0" fillId="2" borderId="1" xfId="3" quotePrefix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vertical="center"/>
    </xf>
    <xf numFmtId="0" fontId="1" fillId="2" borderId="25" xfId="0" applyFont="1" applyFill="1" applyBorder="1" applyAlignment="1">
      <alignment vertical="center"/>
    </xf>
    <xf numFmtId="0" fontId="1" fillId="2" borderId="1" xfId="0" applyFont="1" applyFill="1" applyBorder="1"/>
    <xf numFmtId="14" fontId="26" fillId="2" borderId="1" xfId="0" applyNumberFormat="1" applyFont="1" applyFill="1" applyBorder="1" applyAlignment="1">
      <alignment horizontal="center"/>
    </xf>
    <xf numFmtId="44" fontId="19" fillId="3" borderId="1" xfId="2" applyFont="1" applyFill="1" applyBorder="1"/>
    <xf numFmtId="167" fontId="26" fillId="2" borderId="1" xfId="2" applyNumberFormat="1" applyFont="1" applyFill="1" applyBorder="1" applyAlignment="1">
      <alignment horizontal="right"/>
    </xf>
    <xf numFmtId="0" fontId="26" fillId="3" borderId="1" xfId="0" applyFont="1" applyFill="1" applyBorder="1"/>
    <xf numFmtId="0" fontId="1" fillId="2" borderId="1" xfId="0" applyFont="1" applyFill="1" applyBorder="1" applyAlignment="1">
      <alignment horizontal="left" vertical="center" wrapText="1"/>
    </xf>
    <xf numFmtId="0" fontId="17" fillId="2" borderId="25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7" fillId="3" borderId="0" xfId="0" applyFont="1" applyFill="1" applyAlignment="1">
      <alignment horizontal="center"/>
    </xf>
    <xf numFmtId="0" fontId="4" fillId="3" borderId="19" xfId="5" applyFill="1" applyAlignment="1">
      <alignment horizontal="center"/>
    </xf>
    <xf numFmtId="0" fontId="17" fillId="3" borderId="0" xfId="0" applyFont="1" applyFill="1" applyAlignment="1">
      <alignment horizontal="center"/>
    </xf>
    <xf numFmtId="0" fontId="28" fillId="6" borderId="23" xfId="6" applyFont="1" applyFill="1" applyBorder="1" applyAlignment="1">
      <alignment horizontal="center"/>
    </xf>
    <xf numFmtId="0" fontId="14" fillId="8" borderId="27" xfId="7" applyFont="1" applyFill="1" applyBorder="1" applyAlignment="1">
      <alignment horizontal="center"/>
    </xf>
    <xf numFmtId="0" fontId="17" fillId="2" borderId="35" xfId="0" applyFont="1" applyFill="1" applyBorder="1" applyAlignment="1">
      <alignment horizontal="center"/>
    </xf>
    <xf numFmtId="14" fontId="19" fillId="3" borderId="1" xfId="8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4" fillId="5" borderId="31" xfId="7" applyFont="1" applyBorder="1" applyAlignment="1">
      <alignment horizontal="center"/>
    </xf>
    <xf numFmtId="0" fontId="20" fillId="2" borderId="25" xfId="0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7" fillId="0" borderId="0" xfId="3" applyFont="1" applyFill="1" applyBorder="1" applyAlignment="1">
      <alignment horizontal="center"/>
    </xf>
    <xf numFmtId="166" fontId="19" fillId="3" borderId="1" xfId="8" applyNumberFormat="1" applyFont="1" applyFill="1" applyBorder="1" applyAlignment="1">
      <alignment horizontal="center"/>
    </xf>
    <xf numFmtId="0" fontId="1" fillId="2" borderId="33" xfId="0" applyFont="1" applyFill="1" applyBorder="1" applyAlignment="1">
      <alignment horizontal="left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16" fontId="29" fillId="2" borderId="5" xfId="0" applyNumberFormat="1" applyFont="1" applyFill="1" applyBorder="1" applyAlignment="1">
      <alignment horizontal="center" vertical="center"/>
    </xf>
    <xf numFmtId="16" fontId="29" fillId="2" borderId="1" xfId="0" applyNumberFormat="1" applyFont="1" applyFill="1" applyBorder="1" applyAlignment="1">
      <alignment horizontal="center" vertical="center" wrapText="1"/>
    </xf>
    <xf numFmtId="16" fontId="29" fillId="2" borderId="13" xfId="0" applyNumberFormat="1" applyFont="1" applyFill="1" applyBorder="1" applyAlignment="1">
      <alignment horizontal="center" vertical="center" wrapText="1"/>
    </xf>
    <xf numFmtId="16" fontId="29" fillId="2" borderId="6" xfId="0" applyNumberFormat="1" applyFont="1" applyFill="1" applyBorder="1" applyAlignment="1">
      <alignment horizontal="center" vertical="center" wrapText="1"/>
    </xf>
    <xf numFmtId="0" fontId="26" fillId="0" borderId="0" xfId="0" applyFont="1"/>
    <xf numFmtId="44" fontId="26" fillId="2" borderId="1" xfId="2" applyFont="1" applyFill="1" applyBorder="1" applyAlignment="1">
      <alignment horizontal="center" vertical="center"/>
    </xf>
    <xf numFmtId="9" fontId="26" fillId="2" borderId="1" xfId="2" applyNumberFormat="1" applyFont="1" applyFill="1" applyBorder="1" applyAlignment="1">
      <alignment horizontal="center" vertical="center"/>
    </xf>
    <xf numFmtId="44" fontId="26" fillId="2" borderId="6" xfId="2" applyFont="1" applyFill="1" applyBorder="1"/>
    <xf numFmtId="0" fontId="26" fillId="2" borderId="1" xfId="0" applyFont="1" applyFill="1" applyBorder="1" applyAlignment="1">
      <alignment horizontal="center"/>
    </xf>
    <xf numFmtId="0" fontId="26" fillId="2" borderId="5" xfId="0" applyFont="1" applyFill="1" applyBorder="1"/>
    <xf numFmtId="2" fontId="26" fillId="2" borderId="13" xfId="2" applyNumberFormat="1" applyFont="1" applyFill="1" applyBorder="1" applyAlignment="1">
      <alignment horizontal="center" vertical="center"/>
    </xf>
    <xf numFmtId="2" fontId="26" fillId="3" borderId="1" xfId="2" applyNumberFormat="1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2" borderId="5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1" fontId="0" fillId="2" borderId="1" xfId="2" applyNumberFormat="1" applyFon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44" fontId="0" fillId="2" borderId="1" xfId="2" applyFont="1" applyFill="1" applyBorder="1" applyAlignment="1">
      <alignment vertical="center"/>
    </xf>
    <xf numFmtId="44" fontId="0" fillId="2" borderId="6" xfId="0" applyNumberFormat="1" applyFill="1" applyBorder="1" applyAlignment="1">
      <alignment vertical="center"/>
    </xf>
    <xf numFmtId="43" fontId="12" fillId="3" borderId="0" xfId="0" applyNumberFormat="1" applyFont="1" applyFill="1"/>
    <xf numFmtId="0" fontId="1" fillId="2" borderId="1" xfId="0" applyFont="1" applyFill="1" applyBorder="1" applyAlignment="1">
      <alignment vertical="center"/>
    </xf>
    <xf numFmtId="0" fontId="17" fillId="8" borderId="1" xfId="0" applyFont="1" applyFill="1" applyBorder="1" applyAlignment="1">
      <alignment vertical="center"/>
    </xf>
    <xf numFmtId="44" fontId="7" fillId="2" borderId="8" xfId="2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0" fillId="2" borderId="9" xfId="0" applyFill="1" applyBorder="1"/>
    <xf numFmtId="9" fontId="0" fillId="2" borderId="1" xfId="3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  <xf numFmtId="44" fontId="0" fillId="2" borderId="16" xfId="2" applyFont="1" applyFill="1" applyBorder="1"/>
    <xf numFmtId="0" fontId="9" fillId="2" borderId="5" xfId="0" applyFont="1" applyFill="1" applyBorder="1" applyAlignment="1">
      <alignment vertical="center" wrapText="1"/>
    </xf>
    <xf numFmtId="0" fontId="7" fillId="0" borderId="0" xfId="0" applyFont="1"/>
    <xf numFmtId="0" fontId="7" fillId="2" borderId="5" xfId="0" applyFont="1" applyFill="1" applyBorder="1"/>
    <xf numFmtId="0" fontId="0" fillId="0" borderId="0" xfId="0" applyAlignment="1">
      <alignment vertical="center"/>
    </xf>
    <xf numFmtId="0" fontId="7" fillId="2" borderId="6" xfId="0" applyFont="1" applyFill="1" applyBorder="1" applyAlignment="1">
      <alignment vertical="center"/>
    </xf>
    <xf numFmtId="4" fontId="0" fillId="2" borderId="6" xfId="0" applyNumberForma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0" fontId="30" fillId="2" borderId="6" xfId="23" applyFill="1" applyBorder="1" applyAlignment="1">
      <alignment vertical="center"/>
    </xf>
    <xf numFmtId="0" fontId="1" fillId="2" borderId="34" xfId="0" applyFont="1" applyFill="1" applyBorder="1"/>
    <xf numFmtId="0" fontId="0" fillId="2" borderId="15" xfId="0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0" fillId="3" borderId="0" xfId="0" applyFill="1" applyAlignment="1">
      <alignment horizontal="center"/>
    </xf>
    <xf numFmtId="0" fontId="3" fillId="3" borderId="39" xfId="4" applyFill="1" applyBorder="1" applyAlignment="1">
      <alignment horizontal="center"/>
    </xf>
    <xf numFmtId="0" fontId="3" fillId="3" borderId="0" xfId="4" applyFill="1" applyBorder="1" applyAlignment="1">
      <alignment horizontal="center"/>
    </xf>
    <xf numFmtId="0" fontId="17" fillId="8" borderId="13" xfId="0" applyFont="1" applyFill="1" applyBorder="1" applyAlignment="1">
      <alignment horizontal="left" vertical="center" wrapText="1"/>
    </xf>
    <xf numFmtId="0" fontId="17" fillId="8" borderId="25" xfId="0" applyFont="1" applyFill="1" applyBorder="1" applyAlignment="1">
      <alignment horizontal="left" vertical="center" wrapText="1"/>
    </xf>
    <xf numFmtId="0" fontId="17" fillId="8" borderId="15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/>
    </xf>
    <xf numFmtId="0" fontId="1" fillId="2" borderId="25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2" fillId="2" borderId="13" xfId="0" applyFont="1" applyFill="1" applyBorder="1" applyAlignment="1">
      <alignment horizontal="center"/>
    </xf>
    <xf numFmtId="0" fontId="12" fillId="2" borderId="25" xfId="0" applyFont="1" applyFill="1" applyBorder="1" applyAlignment="1">
      <alignment horizontal="center"/>
    </xf>
    <xf numFmtId="0" fontId="12" fillId="2" borderId="15" xfId="0" applyFont="1" applyFill="1" applyBorder="1" applyAlignment="1">
      <alignment horizontal="center"/>
    </xf>
    <xf numFmtId="0" fontId="12" fillId="2" borderId="25" xfId="0" applyFont="1" applyFill="1" applyBorder="1" applyAlignment="1">
      <alignment horizontal="left"/>
    </xf>
    <xf numFmtId="0" fontId="12" fillId="2" borderId="15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 wrapText="1"/>
    </xf>
    <xf numFmtId="0" fontId="9" fillId="2" borderId="5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9" fillId="2" borderId="55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/>
    </xf>
    <xf numFmtId="0" fontId="7" fillId="2" borderId="54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9" fillId="2" borderId="49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2" borderId="4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44" xfId="0" applyFill="1" applyBorder="1" applyAlignment="1">
      <alignment horizontal="right" vertical="center"/>
    </xf>
    <xf numFmtId="0" fontId="0" fillId="2" borderId="25" xfId="0" applyFill="1" applyBorder="1" applyAlignment="1">
      <alignment horizontal="right" vertical="center"/>
    </xf>
    <xf numFmtId="0" fontId="0" fillId="2" borderId="15" xfId="0" applyFill="1" applyBorder="1" applyAlignment="1">
      <alignment horizontal="right" vertical="center"/>
    </xf>
    <xf numFmtId="0" fontId="0" fillId="2" borderId="25" xfId="0" applyFill="1" applyBorder="1" applyAlignment="1">
      <alignment horizontal="center" vertical="center"/>
    </xf>
  </cellXfs>
  <cellStyles count="24">
    <cellStyle name="Bom" xfId="8" builtinId="26"/>
    <cellStyle name="Entrada" xfId="6" builtinId="20"/>
    <cellStyle name="Hiperlink" xfId="23" builtinId="8"/>
    <cellStyle name="Moeda" xfId="2" builtinId="4"/>
    <cellStyle name="Moeda 2" xfId="10"/>
    <cellStyle name="Moeda 2 2" xfId="14"/>
    <cellStyle name="Moeda 2 2 2" xfId="22"/>
    <cellStyle name="Moeda 2 3" xfId="18"/>
    <cellStyle name="Moeda 3" xfId="12"/>
    <cellStyle name="Moeda 3 2" xfId="20"/>
    <cellStyle name="Moeda 4" xfId="16"/>
    <cellStyle name="Normal" xfId="0" builtinId="0"/>
    <cellStyle name="Porcentagem" xfId="3" builtinId="5"/>
    <cellStyle name="Saída" xfId="7" builtinId="21"/>
    <cellStyle name="Título 1" xfId="4" builtinId="16"/>
    <cellStyle name="Título 2" xfId="5" builtinId="17"/>
    <cellStyle name="Vírgula" xfId="1" builtinId="3"/>
    <cellStyle name="Vírgula 2" xfId="9"/>
    <cellStyle name="Vírgula 2 2" xfId="13"/>
    <cellStyle name="Vírgula 2 2 2" xfId="21"/>
    <cellStyle name="Vírgula 2 3" xfId="17"/>
    <cellStyle name="Vírgula 3" xfId="11"/>
    <cellStyle name="Vírgula 3 2" xfId="19"/>
    <cellStyle name="Vírgula 4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ortaltransparencia.gov.br/servidores/81417864" TargetMode="External"/><Relationship Id="rId3" Type="http://schemas.openxmlformats.org/officeDocument/2006/relationships/hyperlink" Target="http://www.portaltransparencia.gov.br/servidores/75416912" TargetMode="External"/><Relationship Id="rId7" Type="http://schemas.openxmlformats.org/officeDocument/2006/relationships/hyperlink" Target="http://www.portaltransparencia.gov.br/servidores/83316133" TargetMode="External"/><Relationship Id="rId2" Type="http://schemas.openxmlformats.org/officeDocument/2006/relationships/hyperlink" Target="http://www.portaltransparencia.gov.br/servidores/76921127" TargetMode="External"/><Relationship Id="rId1" Type="http://schemas.openxmlformats.org/officeDocument/2006/relationships/hyperlink" Target="http://www.portaltransparencia.gov.br/servidores/85709236" TargetMode="External"/><Relationship Id="rId6" Type="http://schemas.openxmlformats.org/officeDocument/2006/relationships/hyperlink" Target="http://www.portaltransparencia.gov.br/servidores/76616339" TargetMode="External"/><Relationship Id="rId5" Type="http://schemas.openxmlformats.org/officeDocument/2006/relationships/hyperlink" Target="http://www.portaltransparencia.gov.br/servidores/81215099" TargetMode="External"/><Relationship Id="rId4" Type="http://schemas.openxmlformats.org/officeDocument/2006/relationships/hyperlink" Target="http://www.portaltransparencia.gov.br/servidores/80624131" TargetMode="External"/><Relationship Id="rId9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portaltransparencia.gov.br/servidores/76616339" TargetMode="External"/><Relationship Id="rId1" Type="http://schemas.openxmlformats.org/officeDocument/2006/relationships/hyperlink" Target="http://portaltransparencia.gov.br/servidores/85918798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84"/>
  <sheetViews>
    <sheetView showGridLines="0" view="pageBreakPreview" topLeftCell="A35" zoomScale="80" zoomScaleNormal="80" zoomScaleSheetLayoutView="80" workbookViewId="0">
      <selection activeCell="C7" sqref="C7"/>
    </sheetView>
  </sheetViews>
  <sheetFormatPr defaultColWidth="8.5703125" defaultRowHeight="15" x14ac:dyDescent="0.25"/>
  <cols>
    <col min="1" max="2" width="5.42578125" customWidth="1"/>
    <col min="3" max="3" width="82.140625" customWidth="1"/>
    <col min="4" max="4" width="25.140625" customWidth="1"/>
    <col min="5" max="5" width="13.140625" customWidth="1"/>
    <col min="6" max="6" width="17.140625" customWidth="1"/>
    <col min="7" max="7" width="15.42578125" style="123" customWidth="1"/>
    <col min="8" max="8" width="101.5703125" customWidth="1"/>
    <col min="9" max="9" width="4.5703125" customWidth="1"/>
    <col min="10" max="10" width="15.5703125" customWidth="1"/>
    <col min="11" max="11" width="17.42578125" customWidth="1"/>
  </cols>
  <sheetData>
    <row r="1" spans="2:9" ht="7.5" customHeight="1" x14ac:dyDescent="0.25"/>
    <row r="2" spans="2:9" ht="19.5" x14ac:dyDescent="0.3">
      <c r="B2" s="17"/>
      <c r="C2" s="189" t="s">
        <v>19</v>
      </c>
      <c r="D2" s="189"/>
      <c r="E2" s="189"/>
      <c r="F2" s="189"/>
      <c r="G2" s="189"/>
      <c r="H2" s="189"/>
      <c r="I2" s="23"/>
    </row>
    <row r="3" spans="2:9" ht="19.5" customHeight="1" x14ac:dyDescent="0.3">
      <c r="B3" s="18"/>
      <c r="C3" s="190" t="s">
        <v>258</v>
      </c>
      <c r="D3" s="190"/>
      <c r="E3" s="190"/>
      <c r="F3" s="190"/>
      <c r="G3" s="190"/>
      <c r="H3" s="190"/>
      <c r="I3" s="24"/>
    </row>
    <row r="4" spans="2:9" ht="19.5" x14ac:dyDescent="0.3">
      <c r="B4" s="18"/>
      <c r="C4" s="190" t="s">
        <v>257</v>
      </c>
      <c r="D4" s="190"/>
      <c r="E4" s="190"/>
      <c r="F4" s="190"/>
      <c r="G4" s="190"/>
      <c r="H4" s="190"/>
      <c r="I4" s="24"/>
    </row>
    <row r="5" spans="2:9" x14ac:dyDescent="0.25">
      <c r="B5" s="18"/>
      <c r="C5" s="188"/>
      <c r="D5" s="188"/>
      <c r="E5" s="188"/>
      <c r="F5" s="188"/>
      <c r="G5" s="188"/>
      <c r="H5" s="188"/>
      <c r="I5" s="22"/>
    </row>
    <row r="6" spans="2:9" x14ac:dyDescent="0.25">
      <c r="B6" s="18"/>
      <c r="C6" s="188"/>
      <c r="D6" s="188"/>
      <c r="E6" s="188"/>
      <c r="F6" s="188"/>
      <c r="G6" s="188"/>
      <c r="H6" s="188"/>
      <c r="I6" s="22"/>
    </row>
    <row r="7" spans="2:9" ht="18" thickBot="1" x14ac:dyDescent="0.35">
      <c r="B7" s="18"/>
      <c r="C7" s="20" t="s">
        <v>256</v>
      </c>
      <c r="D7" s="20"/>
      <c r="E7" s="20"/>
      <c r="F7" s="20"/>
      <c r="G7" s="125"/>
      <c r="H7" s="20"/>
      <c r="I7" s="22"/>
    </row>
    <row r="8" spans="2:9" ht="16.5" thickTop="1" x14ac:dyDescent="0.25">
      <c r="B8" s="18"/>
      <c r="C8" s="54"/>
      <c r="D8" s="54"/>
      <c r="E8" s="54"/>
      <c r="F8" s="54"/>
      <c r="G8" s="126"/>
      <c r="H8" s="54"/>
      <c r="I8" s="22"/>
    </row>
    <row r="9" spans="2:9" ht="15.75" x14ac:dyDescent="0.25">
      <c r="B9" s="18"/>
      <c r="C9" s="54"/>
      <c r="D9" s="54"/>
      <c r="E9" s="54"/>
      <c r="F9" s="54"/>
      <c r="G9" s="126"/>
      <c r="H9" s="54"/>
      <c r="I9" s="22"/>
    </row>
    <row r="10" spans="2:9" ht="15.75" x14ac:dyDescent="0.25">
      <c r="B10" s="18"/>
      <c r="C10" s="55" t="s">
        <v>20</v>
      </c>
      <c r="D10" s="56"/>
      <c r="E10" s="56"/>
      <c r="F10" s="56"/>
      <c r="G10" s="127"/>
      <c r="H10" s="57"/>
      <c r="I10" s="22"/>
    </row>
    <row r="11" spans="2:9" ht="15.75" x14ac:dyDescent="0.25">
      <c r="B11" s="18"/>
      <c r="C11" s="54"/>
      <c r="D11" s="54"/>
      <c r="E11" s="54"/>
      <c r="F11" s="54"/>
      <c r="G11" s="126"/>
      <c r="H11" s="54"/>
      <c r="I11" s="22"/>
    </row>
    <row r="12" spans="2:9" ht="15.75" x14ac:dyDescent="0.25">
      <c r="B12" s="18"/>
      <c r="C12" s="58" t="s">
        <v>23</v>
      </c>
      <c r="D12" s="58" t="s">
        <v>24</v>
      </c>
      <c r="E12" s="59" t="s">
        <v>26</v>
      </c>
      <c r="F12" s="60"/>
      <c r="G12" s="128"/>
      <c r="H12" s="61"/>
      <c r="I12" s="22"/>
    </row>
    <row r="13" spans="2:9" ht="15.75" x14ac:dyDescent="0.25">
      <c r="B13" s="18"/>
      <c r="C13" s="139" t="s">
        <v>189</v>
      </c>
      <c r="D13" s="62" t="s">
        <v>260</v>
      </c>
      <c r="E13" s="183" t="s">
        <v>259</v>
      </c>
      <c r="F13" s="63"/>
      <c r="G13" s="129"/>
      <c r="H13" s="64"/>
      <c r="I13" s="22"/>
    </row>
    <row r="14" spans="2:9" ht="15.75" x14ac:dyDescent="0.25">
      <c r="B14" s="18"/>
      <c r="C14" s="121" t="s">
        <v>185</v>
      </c>
      <c r="D14" s="66" t="s">
        <v>260</v>
      </c>
      <c r="E14" s="194" t="s">
        <v>209</v>
      </c>
      <c r="F14" s="195"/>
      <c r="G14" s="195"/>
      <c r="H14" s="196"/>
      <c r="I14" s="22"/>
    </row>
    <row r="15" spans="2:9" ht="15.75" x14ac:dyDescent="0.25">
      <c r="B15" s="18"/>
      <c r="C15" s="121" t="s">
        <v>186</v>
      </c>
      <c r="D15" s="69" t="s">
        <v>260</v>
      </c>
      <c r="E15" s="197"/>
      <c r="F15" s="198"/>
      <c r="G15" s="198"/>
      <c r="H15" s="199"/>
      <c r="I15" s="22"/>
    </row>
    <row r="16" spans="2:9" ht="15.75" x14ac:dyDescent="0.25">
      <c r="B16" s="18"/>
      <c r="C16" s="121" t="s">
        <v>187</v>
      </c>
      <c r="D16" s="69" t="s">
        <v>260</v>
      </c>
      <c r="E16" s="194" t="s">
        <v>251</v>
      </c>
      <c r="F16" s="200"/>
      <c r="G16" s="200"/>
      <c r="H16" s="201"/>
      <c r="I16" s="22"/>
    </row>
    <row r="17" spans="2:9" ht="15.75" x14ac:dyDescent="0.25">
      <c r="B17" s="18"/>
      <c r="C17" s="191" t="s">
        <v>210</v>
      </c>
      <c r="D17" s="192"/>
      <c r="E17" s="192"/>
      <c r="F17" s="192"/>
      <c r="G17" s="192"/>
      <c r="H17" s="193"/>
      <c r="I17" s="22"/>
    </row>
    <row r="18" spans="2:9" ht="15.75" x14ac:dyDescent="0.25">
      <c r="B18" s="18"/>
      <c r="C18" s="71" t="s">
        <v>261</v>
      </c>
      <c r="D18" s="70">
        <v>0</v>
      </c>
      <c r="E18" s="109"/>
      <c r="F18" s="109"/>
      <c r="G18" s="122"/>
      <c r="H18" s="68"/>
      <c r="I18" s="22"/>
    </row>
    <row r="19" spans="2:9" ht="15.75" x14ac:dyDescent="0.25">
      <c r="B19" s="18"/>
      <c r="C19" s="71" t="s">
        <v>262</v>
      </c>
      <c r="D19" s="70">
        <f>'Recursos Humanos Diretos'!G6</f>
        <v>2</v>
      </c>
      <c r="E19" s="109" t="s">
        <v>176</v>
      </c>
      <c r="F19" s="109"/>
      <c r="G19" s="122"/>
      <c r="H19" s="68"/>
      <c r="I19" s="22"/>
    </row>
    <row r="20" spans="2:9" ht="15.75" x14ac:dyDescent="0.25">
      <c r="B20" s="18"/>
      <c r="C20" s="71" t="s">
        <v>263</v>
      </c>
      <c r="D20" s="70">
        <f>'Recursos Humanos Diretos'!G7</f>
        <v>2</v>
      </c>
      <c r="E20" s="109" t="s">
        <v>176</v>
      </c>
      <c r="F20" s="109"/>
      <c r="G20" s="122"/>
      <c r="H20" s="68"/>
      <c r="I20" s="22"/>
    </row>
    <row r="21" spans="2:9" ht="15.75" x14ac:dyDescent="0.25">
      <c r="B21" s="18"/>
      <c r="C21" s="71" t="s">
        <v>264</v>
      </c>
      <c r="D21" s="70">
        <f>'Recursos Humanos Diretos'!G8</f>
        <v>4</v>
      </c>
      <c r="E21" s="109" t="s">
        <v>176</v>
      </c>
      <c r="F21" s="109"/>
      <c r="G21" s="122"/>
      <c r="H21" s="68"/>
      <c r="I21" s="22"/>
    </row>
    <row r="22" spans="2:9" ht="15.75" x14ac:dyDescent="0.25">
      <c r="B22" s="18"/>
      <c r="C22" s="71" t="s">
        <v>265</v>
      </c>
      <c r="D22" s="70">
        <f>'Recursos Humanos Diretos'!G9</f>
        <v>2</v>
      </c>
      <c r="E22" s="109" t="s">
        <v>176</v>
      </c>
      <c r="F22" s="109"/>
      <c r="G22" s="122"/>
      <c r="H22" s="68"/>
      <c r="I22" s="22"/>
    </row>
    <row r="23" spans="2:9" ht="15.75" x14ac:dyDescent="0.25">
      <c r="B23" s="18"/>
      <c r="C23" s="71" t="s">
        <v>266</v>
      </c>
      <c r="D23" s="70">
        <f>'Recursos Humanos Diretos'!G10</f>
        <v>2</v>
      </c>
      <c r="E23" s="109" t="s">
        <v>176</v>
      </c>
      <c r="F23" s="109"/>
      <c r="G23" s="122"/>
      <c r="H23" s="68"/>
      <c r="I23" s="22"/>
    </row>
    <row r="24" spans="2:9" ht="15.75" x14ac:dyDescent="0.25">
      <c r="B24" s="18"/>
      <c r="C24" s="71" t="s">
        <v>267</v>
      </c>
      <c r="D24" s="70">
        <f>'Recursos Humanos Diretos'!G11</f>
        <v>2</v>
      </c>
      <c r="E24" s="109" t="s">
        <v>176</v>
      </c>
      <c r="F24" s="109"/>
      <c r="G24" s="122"/>
      <c r="H24" s="68"/>
      <c r="I24" s="22"/>
    </row>
    <row r="25" spans="2:9" ht="15.75" x14ac:dyDescent="0.25">
      <c r="B25" s="18"/>
      <c r="C25" s="71" t="s">
        <v>268</v>
      </c>
      <c r="D25" s="70">
        <f>'Recursos Humanos Diretos'!G12</f>
        <v>4</v>
      </c>
      <c r="E25" s="109" t="s">
        <v>176</v>
      </c>
      <c r="F25" s="109"/>
      <c r="G25" s="122"/>
      <c r="H25" s="68"/>
      <c r="I25" s="22"/>
    </row>
    <row r="26" spans="2:9" ht="15.75" hidden="1" x14ac:dyDescent="0.25">
      <c r="B26" s="18"/>
      <c r="C26" s="73"/>
      <c r="D26" s="74"/>
      <c r="E26" s="67"/>
      <c r="F26" s="67"/>
      <c r="G26" s="122"/>
      <c r="H26" s="68"/>
      <c r="I26" s="22"/>
    </row>
    <row r="27" spans="2:9" ht="15.75" hidden="1" x14ac:dyDescent="0.25">
      <c r="B27" s="18"/>
      <c r="C27" s="73"/>
      <c r="D27" s="74"/>
      <c r="E27" s="67"/>
      <c r="F27" s="67"/>
      <c r="G27" s="122"/>
      <c r="H27" s="68"/>
      <c r="I27" s="22"/>
    </row>
    <row r="28" spans="2:9" ht="15.75" hidden="1" x14ac:dyDescent="0.25">
      <c r="B28" s="18"/>
      <c r="C28" s="73"/>
      <c r="D28" s="74"/>
      <c r="E28" s="67"/>
      <c r="F28" s="67"/>
      <c r="G28" s="122"/>
      <c r="H28" s="68"/>
      <c r="I28" s="22"/>
    </row>
    <row r="29" spans="2:9" ht="39.950000000000003" customHeight="1" x14ac:dyDescent="0.25">
      <c r="B29" s="18"/>
      <c r="C29" s="75" t="s">
        <v>188</v>
      </c>
      <c r="D29" s="76" t="s">
        <v>212</v>
      </c>
      <c r="E29" s="77" t="s">
        <v>211</v>
      </c>
      <c r="F29" s="77" t="s">
        <v>184</v>
      </c>
      <c r="G29" s="77" t="s">
        <v>182</v>
      </c>
      <c r="H29" s="164" t="s">
        <v>213</v>
      </c>
      <c r="I29" s="22"/>
    </row>
    <row r="30" spans="2:9" ht="15.75" x14ac:dyDescent="0.25">
      <c r="B30" s="18"/>
      <c r="C30" s="120" t="s">
        <v>269</v>
      </c>
      <c r="D30" s="78">
        <f>Depreciação!L5</f>
        <v>1</v>
      </c>
      <c r="E30" s="138">
        <v>1.5</v>
      </c>
      <c r="F30" s="118">
        <f>Depreciação!F5</f>
        <v>49990</v>
      </c>
      <c r="G30" s="130">
        <f>Depreciação!D5</f>
        <v>43752</v>
      </c>
      <c r="H30" s="163" t="s">
        <v>250</v>
      </c>
      <c r="I30" s="22"/>
    </row>
    <row r="31" spans="2:9" ht="15.75" x14ac:dyDescent="0.25">
      <c r="B31" s="18"/>
      <c r="C31" s="120" t="s">
        <v>270</v>
      </c>
      <c r="D31" s="78">
        <f>Depreciação!L6</f>
        <v>1</v>
      </c>
      <c r="E31" s="138">
        <v>0.5</v>
      </c>
      <c r="F31" s="118">
        <f>Depreciação!F6</f>
        <v>177948.32</v>
      </c>
      <c r="G31" s="130">
        <f>Depreciação!D6</f>
        <v>42138</v>
      </c>
      <c r="H31" s="163" t="s">
        <v>250</v>
      </c>
      <c r="I31" s="22"/>
    </row>
    <row r="32" spans="2:9" ht="15.75" x14ac:dyDescent="0.25">
      <c r="B32" s="18"/>
      <c r="C32" s="120" t="s">
        <v>271</v>
      </c>
      <c r="D32" s="78">
        <f>Depreciação!L7</f>
        <v>0.5</v>
      </c>
      <c r="E32" s="138">
        <v>1.5</v>
      </c>
      <c r="F32" s="118">
        <f>Depreciação!F7</f>
        <v>368529.73</v>
      </c>
      <c r="G32" s="130">
        <f>Depreciação!D7</f>
        <v>42544</v>
      </c>
      <c r="H32" s="163" t="s">
        <v>250</v>
      </c>
      <c r="I32" s="22"/>
    </row>
    <row r="33" spans="2:9" ht="15.75" x14ac:dyDescent="0.25">
      <c r="B33" s="18"/>
      <c r="C33" s="120" t="s">
        <v>272</v>
      </c>
      <c r="D33" s="78">
        <f>Depreciação!L8</f>
        <v>8</v>
      </c>
      <c r="E33" s="138">
        <v>1.5</v>
      </c>
      <c r="F33" s="118">
        <f>Depreciação!F8</f>
        <v>12817.68</v>
      </c>
      <c r="G33" s="130">
        <f>Depreciação!D8</f>
        <v>42951</v>
      </c>
      <c r="H33" s="116" t="s">
        <v>183</v>
      </c>
      <c r="I33" s="22"/>
    </row>
    <row r="34" spans="2:9" ht="15.75" x14ac:dyDescent="0.25">
      <c r="B34" s="18"/>
      <c r="C34" s="120" t="s">
        <v>273</v>
      </c>
      <c r="D34" s="78">
        <f>Depreciação!L9</f>
        <v>8</v>
      </c>
      <c r="E34" s="138">
        <v>1.5</v>
      </c>
      <c r="F34" s="118">
        <f>Depreciação!F9</f>
        <v>2712.74</v>
      </c>
      <c r="G34" s="130">
        <f>Depreciação!D9</f>
        <v>42978</v>
      </c>
      <c r="H34" s="116" t="s">
        <v>183</v>
      </c>
      <c r="I34" s="22"/>
    </row>
    <row r="35" spans="2:9" ht="15.75" x14ac:dyDescent="0.25">
      <c r="B35" s="18"/>
      <c r="C35" s="120" t="s">
        <v>274</v>
      </c>
      <c r="D35" s="78">
        <f>Depreciação!L10</f>
        <v>0.1</v>
      </c>
      <c r="E35" s="138">
        <v>1.5</v>
      </c>
      <c r="F35" s="118">
        <f>Depreciação!F10</f>
        <v>295000</v>
      </c>
      <c r="G35" s="130">
        <f>Depreciação!D10</f>
        <v>41477</v>
      </c>
      <c r="H35" s="116" t="s">
        <v>183</v>
      </c>
      <c r="I35" s="22"/>
    </row>
    <row r="36" spans="2:9" ht="15.75" x14ac:dyDescent="0.25">
      <c r="B36" s="18"/>
      <c r="C36" s="120"/>
      <c r="D36" s="78"/>
      <c r="E36" s="138"/>
      <c r="F36" s="118"/>
      <c r="G36" s="130"/>
      <c r="H36" s="116"/>
      <c r="I36" s="22"/>
    </row>
    <row r="37" spans="2:9" ht="15.75" x14ac:dyDescent="0.25">
      <c r="B37" s="18"/>
      <c r="C37" s="120"/>
      <c r="D37" s="78"/>
      <c r="E37" s="138"/>
      <c r="F37" s="118"/>
      <c r="G37" s="130"/>
      <c r="H37" s="116"/>
      <c r="I37" s="22"/>
    </row>
    <row r="38" spans="2:9" ht="15.75" x14ac:dyDescent="0.25">
      <c r="B38" s="18"/>
      <c r="C38" s="120"/>
      <c r="D38" s="78"/>
      <c r="E38" s="138"/>
      <c r="F38" s="118"/>
      <c r="G38" s="130"/>
      <c r="H38" s="116"/>
      <c r="I38" s="22"/>
    </row>
    <row r="39" spans="2:9" ht="15.75" x14ac:dyDescent="0.25">
      <c r="B39" s="18"/>
      <c r="C39" s="120"/>
      <c r="D39" s="78"/>
      <c r="E39" s="138"/>
      <c r="F39" s="118"/>
      <c r="G39" s="130"/>
      <c r="H39" s="116"/>
      <c r="I39" s="22"/>
    </row>
    <row r="40" spans="2:9" ht="15.75" x14ac:dyDescent="0.25">
      <c r="B40" s="18"/>
      <c r="C40" s="120"/>
      <c r="D40" s="78"/>
      <c r="E40" s="138"/>
      <c r="F40" s="118"/>
      <c r="G40" s="130"/>
      <c r="H40" s="116"/>
      <c r="I40" s="22"/>
    </row>
    <row r="41" spans="2:9" ht="15.75" x14ac:dyDescent="0.25">
      <c r="B41" s="18"/>
      <c r="C41" s="120"/>
      <c r="D41" s="96"/>
      <c r="E41" s="138"/>
      <c r="F41" s="118"/>
      <c r="G41" s="130"/>
      <c r="H41" s="116"/>
      <c r="I41" s="22"/>
    </row>
    <row r="42" spans="2:9" ht="15.75" x14ac:dyDescent="0.25">
      <c r="B42" s="18"/>
      <c r="C42" s="120"/>
      <c r="D42" s="96"/>
      <c r="E42" s="138"/>
      <c r="F42" s="118"/>
      <c r="G42" s="130"/>
      <c r="H42" s="116"/>
      <c r="I42" s="22"/>
    </row>
    <row r="43" spans="2:9" ht="15.75" x14ac:dyDescent="0.25">
      <c r="B43" s="18"/>
      <c r="C43" s="120"/>
      <c r="D43" s="96"/>
      <c r="E43" s="138"/>
      <c r="F43" s="118"/>
      <c r="G43" s="130"/>
      <c r="H43" s="116"/>
      <c r="I43" s="22"/>
    </row>
    <row r="44" spans="2:9" ht="15.75" x14ac:dyDescent="0.25">
      <c r="C44" s="72"/>
      <c r="D44" s="72"/>
      <c r="E44" s="72"/>
      <c r="F44" s="72"/>
      <c r="G44" s="131"/>
      <c r="H44" s="72"/>
    </row>
    <row r="45" spans="2:9" ht="15.75" x14ac:dyDescent="0.25">
      <c r="B45" s="18"/>
      <c r="C45" s="55" t="s">
        <v>21</v>
      </c>
      <c r="D45" s="56"/>
      <c r="E45" s="56"/>
      <c r="F45" s="56"/>
      <c r="G45" s="127"/>
      <c r="H45" s="57"/>
      <c r="I45" s="22"/>
    </row>
    <row r="46" spans="2:9" ht="15.75" x14ac:dyDescent="0.25">
      <c r="B46" s="18"/>
      <c r="C46" s="54"/>
      <c r="D46" s="54"/>
      <c r="E46" s="54"/>
      <c r="F46" s="54"/>
      <c r="G46" s="126"/>
      <c r="H46" s="54"/>
      <c r="I46" s="22"/>
    </row>
    <row r="47" spans="2:9" ht="15.75" x14ac:dyDescent="0.25">
      <c r="B47" s="18"/>
      <c r="C47" s="79" t="s">
        <v>23</v>
      </c>
      <c r="D47" s="79" t="s">
        <v>24</v>
      </c>
      <c r="E47" s="80" t="s">
        <v>27</v>
      </c>
      <c r="F47" s="81"/>
      <c r="G47" s="132"/>
      <c r="H47" s="82"/>
      <c r="I47" s="22"/>
    </row>
    <row r="48" spans="2:9" ht="15.75" x14ac:dyDescent="0.25">
      <c r="B48" s="18"/>
      <c r="C48" s="65" t="s">
        <v>9</v>
      </c>
      <c r="D48" s="83">
        <v>35095.519999999997</v>
      </c>
      <c r="E48" s="102" t="s">
        <v>214</v>
      </c>
      <c r="F48" s="114"/>
      <c r="G48" s="122"/>
      <c r="H48" s="68"/>
      <c r="I48" s="22"/>
    </row>
    <row r="49" spans="2:22" ht="15.75" x14ac:dyDescent="0.25">
      <c r="B49" s="18"/>
      <c r="C49" s="121" t="s">
        <v>226</v>
      </c>
      <c r="D49" s="85">
        <f>Vigilância!F9</f>
        <v>13566</v>
      </c>
      <c r="E49" s="84" t="s">
        <v>43</v>
      </c>
      <c r="F49" s="114"/>
      <c r="G49" s="122"/>
      <c r="H49" s="68"/>
      <c r="I49" s="22"/>
    </row>
    <row r="50" spans="2:22" ht="15.75" x14ac:dyDescent="0.25">
      <c r="B50" s="18"/>
      <c r="C50" s="121" t="s">
        <v>234</v>
      </c>
      <c r="D50" s="85">
        <f>Portaria!F7</f>
        <v>43840</v>
      </c>
      <c r="E50" s="84" t="s">
        <v>43</v>
      </c>
      <c r="F50" s="114"/>
      <c r="G50" s="122"/>
      <c r="H50" s="68"/>
      <c r="I50" s="22"/>
    </row>
    <row r="51" spans="2:22" ht="15.75" x14ac:dyDescent="0.25">
      <c r="B51" s="18"/>
      <c r="C51" s="121" t="s">
        <v>235</v>
      </c>
      <c r="D51" s="105">
        <v>194427.39</v>
      </c>
      <c r="E51" s="102" t="s">
        <v>103</v>
      </c>
      <c r="F51" s="115"/>
      <c r="G51" s="122"/>
      <c r="H51" s="68"/>
      <c r="I51" s="22"/>
    </row>
    <row r="52" spans="2:22" ht="15.75" x14ac:dyDescent="0.25">
      <c r="B52" s="18"/>
      <c r="C52" s="65" t="s">
        <v>31</v>
      </c>
      <c r="D52" s="85">
        <v>14</v>
      </c>
      <c r="E52" s="102" t="s">
        <v>101</v>
      </c>
      <c r="F52" s="115"/>
      <c r="G52" s="122"/>
      <c r="H52" s="68"/>
      <c r="I52" s="22"/>
    </row>
    <row r="53" spans="2:22" ht="34.5" customHeight="1" x14ac:dyDescent="0.25">
      <c r="B53" s="18"/>
      <c r="C53" s="65" t="s">
        <v>17</v>
      </c>
      <c r="D53" s="85">
        <v>0.37861</v>
      </c>
      <c r="E53" s="185" t="s">
        <v>102</v>
      </c>
      <c r="F53" s="186"/>
      <c r="G53" s="186"/>
      <c r="H53" s="187"/>
      <c r="I53" s="22"/>
    </row>
    <row r="54" spans="2:22" ht="31.5" x14ac:dyDescent="0.25">
      <c r="B54" s="18"/>
      <c r="C54" s="65" t="s">
        <v>58</v>
      </c>
      <c r="D54" s="86">
        <v>7034526.9600000009</v>
      </c>
      <c r="E54" s="102" t="s">
        <v>204</v>
      </c>
      <c r="F54" s="115"/>
      <c r="G54" s="122"/>
      <c r="H54" s="68"/>
      <c r="I54" s="22"/>
    </row>
    <row r="55" spans="2:22" ht="15.75" x14ac:dyDescent="0.25">
      <c r="B55" s="18"/>
      <c r="C55" s="170" t="s">
        <v>219</v>
      </c>
      <c r="D55" s="85">
        <f>519676.62/23</f>
        <v>22594.635652173914</v>
      </c>
      <c r="E55" s="102" t="s">
        <v>221</v>
      </c>
      <c r="F55" s="114"/>
      <c r="G55" s="122"/>
      <c r="H55" s="68"/>
      <c r="I55" s="22"/>
    </row>
    <row r="56" spans="2:22" ht="15.75" x14ac:dyDescent="0.25">
      <c r="B56" s="18"/>
      <c r="C56" s="54"/>
      <c r="D56" s="54"/>
      <c r="E56" s="54"/>
      <c r="F56" s="54"/>
      <c r="G56" s="126"/>
      <c r="H56" s="54"/>
      <c r="I56" s="22"/>
    </row>
    <row r="57" spans="2:22" ht="15.75" x14ac:dyDescent="0.25">
      <c r="B57" s="18"/>
      <c r="C57" s="55" t="s">
        <v>91</v>
      </c>
      <c r="D57" s="56"/>
      <c r="E57" s="56"/>
      <c r="F57" s="56"/>
      <c r="G57" s="127"/>
      <c r="H57" s="57"/>
      <c r="I57" s="22"/>
    </row>
    <row r="58" spans="2:22" ht="15.75" x14ac:dyDescent="0.25">
      <c r="B58" s="18"/>
      <c r="C58" s="54"/>
      <c r="D58" s="54"/>
      <c r="E58" s="54"/>
      <c r="F58" s="54"/>
      <c r="G58" s="126"/>
      <c r="H58" s="54"/>
      <c r="I58" s="22"/>
    </row>
    <row r="59" spans="2:22" ht="15.75" x14ac:dyDescent="0.25">
      <c r="B59" s="18"/>
      <c r="C59" s="79" t="s">
        <v>23</v>
      </c>
      <c r="D59" s="79" t="s">
        <v>24</v>
      </c>
      <c r="E59" s="80" t="s">
        <v>25</v>
      </c>
      <c r="F59" s="81"/>
      <c r="G59" s="132"/>
      <c r="H59" s="82"/>
      <c r="I59" s="22"/>
    </row>
    <row r="60" spans="2:22" ht="15.75" x14ac:dyDescent="0.25">
      <c r="B60" s="18"/>
      <c r="C60" s="87" t="s">
        <v>172</v>
      </c>
      <c r="D60" s="88" t="e">
        <f>'Recursos Humanos Diretos'!I13</f>
        <v>#VALUE!</v>
      </c>
      <c r="E60" s="89" t="s">
        <v>55</v>
      </c>
      <c r="F60" s="89"/>
      <c r="G60" s="133"/>
      <c r="H60" s="90"/>
      <c r="I60" s="22"/>
    </row>
    <row r="61" spans="2:22" s="2" customFormat="1" ht="15.75" x14ac:dyDescent="0.25">
      <c r="B61" s="21"/>
      <c r="C61" s="87" t="s">
        <v>240</v>
      </c>
      <c r="D61" s="88" t="e">
        <f>'Recursos Humanos Indiretos'!I64</f>
        <v>#VALUE!</v>
      </c>
      <c r="E61" s="89" t="s">
        <v>55</v>
      </c>
      <c r="F61" s="89"/>
      <c r="G61" s="133"/>
      <c r="H61" s="90"/>
      <c r="I61" s="22"/>
      <c r="J61"/>
      <c r="K61"/>
      <c r="L61"/>
      <c r="M61"/>
      <c r="N61"/>
      <c r="O61"/>
      <c r="P61"/>
      <c r="Q61"/>
      <c r="R61"/>
      <c r="S61"/>
      <c r="T61"/>
      <c r="U61"/>
      <c r="V61"/>
    </row>
    <row r="62" spans="2:22" ht="15.75" x14ac:dyDescent="0.25">
      <c r="B62" s="18"/>
      <c r="C62" s="91" t="s">
        <v>241</v>
      </c>
      <c r="D62" s="88" t="e">
        <f>Vigilância!F12</f>
        <v>#VALUE!</v>
      </c>
      <c r="E62" s="89" t="s">
        <v>29</v>
      </c>
      <c r="F62" s="89"/>
      <c r="G62" s="133"/>
      <c r="H62" s="90"/>
      <c r="I62" s="22"/>
    </row>
    <row r="63" spans="2:22" ht="15.75" x14ac:dyDescent="0.25">
      <c r="B63" s="18"/>
      <c r="C63" s="91" t="s">
        <v>242</v>
      </c>
      <c r="D63" s="88" t="e">
        <f>Portaria!F10</f>
        <v>#VALUE!</v>
      </c>
      <c r="E63" s="89" t="s">
        <v>29</v>
      </c>
      <c r="F63" s="89"/>
      <c r="G63" s="133"/>
      <c r="H63" s="90"/>
      <c r="I63" s="22"/>
    </row>
    <row r="64" spans="2:22" ht="15.75" x14ac:dyDescent="0.25">
      <c r="B64" s="18"/>
      <c r="C64" s="87" t="s">
        <v>243</v>
      </c>
      <c r="D64" s="88" t="e">
        <f>Limpeza!F5</f>
        <v>#VALUE!</v>
      </c>
      <c r="E64" s="89" t="s">
        <v>29</v>
      </c>
      <c r="F64" s="89"/>
      <c r="G64" s="133"/>
      <c r="H64" s="90"/>
      <c r="I64" s="22"/>
    </row>
    <row r="65" spans="2:9" ht="15.75" x14ac:dyDescent="0.25">
      <c r="B65" s="18"/>
      <c r="C65" s="91" t="s">
        <v>244</v>
      </c>
      <c r="D65" s="88" t="e">
        <f>'Água e Esgoto'!F5</f>
        <v>#VALUE!</v>
      </c>
      <c r="E65" s="89" t="s">
        <v>33</v>
      </c>
      <c r="F65" s="89"/>
      <c r="G65" s="133"/>
      <c r="H65" s="90"/>
      <c r="I65" s="22"/>
    </row>
    <row r="66" spans="2:9" ht="15.75" x14ac:dyDescent="0.25">
      <c r="B66" s="18"/>
      <c r="C66" s="91" t="s">
        <v>245</v>
      </c>
      <c r="D66" s="88" t="e">
        <f>'Energia Eletrica'!G5</f>
        <v>#VALUE!</v>
      </c>
      <c r="E66" s="89" t="s">
        <v>32</v>
      </c>
      <c r="F66" s="89"/>
      <c r="G66" s="133"/>
      <c r="H66" s="90"/>
      <c r="I66" s="22"/>
    </row>
    <row r="67" spans="2:9" ht="15.75" x14ac:dyDescent="0.25">
      <c r="B67" s="18"/>
      <c r="C67" s="87" t="s">
        <v>246</v>
      </c>
      <c r="D67" s="88" t="e">
        <f>'Manutenção infraestrutura'!F5</f>
        <v>#VALUE!</v>
      </c>
      <c r="E67" s="89" t="s">
        <v>29</v>
      </c>
      <c r="F67" s="89"/>
      <c r="G67" s="133"/>
      <c r="H67" s="90"/>
      <c r="I67" s="22"/>
    </row>
    <row r="68" spans="2:9" ht="15.75" x14ac:dyDescent="0.25">
      <c r="B68" s="18"/>
      <c r="C68" s="87" t="s">
        <v>56</v>
      </c>
      <c r="D68" s="88" t="e">
        <f>'Manutenção acervo bib'!E5</f>
        <v>#VALUE!</v>
      </c>
      <c r="E68" s="89" t="s">
        <v>222</v>
      </c>
      <c r="F68" s="89"/>
      <c r="G68" s="133"/>
      <c r="H68" s="90"/>
      <c r="I68" s="22"/>
    </row>
    <row r="69" spans="2:9" ht="15.75" x14ac:dyDescent="0.25">
      <c r="B69" s="18"/>
      <c r="C69" s="91" t="s">
        <v>203</v>
      </c>
      <c r="D69" s="92" t="e">
        <f>Depreciação!M22</f>
        <v>#VALUE!</v>
      </c>
      <c r="E69" s="89" t="s">
        <v>239</v>
      </c>
      <c r="F69" s="89"/>
      <c r="G69" s="133"/>
      <c r="H69" s="90"/>
      <c r="I69" s="22"/>
    </row>
    <row r="70" spans="2:9" ht="21" x14ac:dyDescent="0.35">
      <c r="B70" s="18"/>
      <c r="C70" s="93" t="s">
        <v>22</v>
      </c>
      <c r="D70" s="100" t="e">
        <f>SUM(D60:D69)</f>
        <v>#VALUE!</v>
      </c>
      <c r="E70" s="89"/>
      <c r="F70" s="89"/>
      <c r="G70" s="133"/>
      <c r="H70" s="90"/>
      <c r="I70" s="22"/>
    </row>
    <row r="71" spans="2:9" ht="18.75" hidden="1" x14ac:dyDescent="0.3">
      <c r="B71" s="18"/>
      <c r="C71" s="98" t="s">
        <v>98</v>
      </c>
      <c r="D71" s="97"/>
      <c r="E71" s="99" t="s">
        <v>99</v>
      </c>
      <c r="F71" s="99"/>
      <c r="G71" s="134"/>
      <c r="H71" s="94"/>
      <c r="I71" s="22"/>
    </row>
    <row r="72" spans="2:9" ht="15.75" x14ac:dyDescent="0.25">
      <c r="B72" s="18"/>
      <c r="C72" s="95"/>
      <c r="D72" s="54"/>
      <c r="E72" s="54"/>
      <c r="F72" s="54"/>
      <c r="G72" s="126"/>
      <c r="H72" s="54"/>
      <c r="I72" s="22"/>
    </row>
    <row r="73" spans="2:9" ht="15.75" x14ac:dyDescent="0.25">
      <c r="B73" s="18"/>
      <c r="C73" s="103" t="s">
        <v>255</v>
      </c>
      <c r="D73" s="162"/>
      <c r="E73" s="54"/>
      <c r="F73" s="54"/>
      <c r="G73" s="126"/>
      <c r="H73" s="54"/>
      <c r="I73" s="22"/>
    </row>
    <row r="74" spans="2:9" ht="15.75" x14ac:dyDescent="0.25">
      <c r="B74" s="18"/>
      <c r="C74" s="103" t="s">
        <v>253</v>
      </c>
      <c r="D74" s="54"/>
      <c r="E74" s="54"/>
      <c r="F74" s="54"/>
      <c r="G74" s="126"/>
      <c r="H74" s="54"/>
      <c r="I74" s="22"/>
    </row>
    <row r="75" spans="2:9" ht="15.75" x14ac:dyDescent="0.25">
      <c r="B75" s="18"/>
      <c r="C75" s="103" t="s">
        <v>254</v>
      </c>
      <c r="D75" s="162"/>
      <c r="E75" s="54"/>
      <c r="F75" s="54"/>
      <c r="G75" s="126"/>
      <c r="H75" s="54"/>
      <c r="I75" s="22"/>
    </row>
    <row r="76" spans="2:9" x14ac:dyDescent="0.25">
      <c r="B76" s="18"/>
      <c r="C76" s="53"/>
      <c r="D76" s="19"/>
      <c r="E76" s="19"/>
      <c r="F76" s="19"/>
      <c r="G76" s="124"/>
      <c r="H76" s="19"/>
      <c r="I76" s="22"/>
    </row>
    <row r="77" spans="2:9" x14ac:dyDescent="0.25">
      <c r="B77" s="18"/>
      <c r="C77" s="53"/>
      <c r="D77" s="19"/>
      <c r="E77" s="19"/>
      <c r="F77" s="19"/>
      <c r="G77" s="124"/>
      <c r="H77" s="19"/>
      <c r="I77" s="22"/>
    </row>
    <row r="78" spans="2:9" x14ac:dyDescent="0.25">
      <c r="B78" s="18"/>
      <c r="C78" s="53"/>
      <c r="D78" s="19"/>
      <c r="E78" s="19"/>
      <c r="F78" s="19"/>
      <c r="G78" s="124"/>
      <c r="H78" s="19"/>
      <c r="I78" s="22"/>
    </row>
    <row r="79" spans="2:9" x14ac:dyDescent="0.25">
      <c r="B79" s="18"/>
      <c r="C79" s="19" t="s">
        <v>100</v>
      </c>
      <c r="D79" s="19"/>
      <c r="E79" s="19"/>
      <c r="F79" s="19"/>
      <c r="G79" s="124"/>
      <c r="H79" s="19"/>
      <c r="I79" s="22"/>
    </row>
    <row r="80" spans="2:9" x14ac:dyDescent="0.25">
      <c r="B80" s="18"/>
      <c r="C80" s="19"/>
      <c r="D80" s="19"/>
      <c r="E80" s="19"/>
      <c r="F80" s="19"/>
      <c r="G80" s="124"/>
      <c r="H80" s="19"/>
      <c r="I80" s="22"/>
    </row>
    <row r="81" spans="2:9" x14ac:dyDescent="0.25">
      <c r="B81" s="26"/>
      <c r="C81" s="16"/>
      <c r="D81" s="16"/>
      <c r="E81" s="16"/>
      <c r="F81" s="16"/>
      <c r="G81" s="135"/>
      <c r="H81" s="16"/>
      <c r="I81" s="25"/>
    </row>
    <row r="82" spans="2:9" x14ac:dyDescent="0.25">
      <c r="H82" s="51"/>
    </row>
    <row r="83" spans="2:9" x14ac:dyDescent="0.25">
      <c r="G83" s="136"/>
      <c r="H83" s="51"/>
    </row>
    <row r="84" spans="2:9" x14ac:dyDescent="0.25">
      <c r="G84" s="137"/>
      <c r="H84" s="52"/>
    </row>
  </sheetData>
  <mergeCells count="9">
    <mergeCell ref="E53:H53"/>
    <mergeCell ref="C5:H6"/>
    <mergeCell ref="C2:H2"/>
    <mergeCell ref="C4:H4"/>
    <mergeCell ref="C17:H17"/>
    <mergeCell ref="C3:H3"/>
    <mergeCell ref="E14:H14"/>
    <mergeCell ref="E15:H15"/>
    <mergeCell ref="E16:H16"/>
  </mergeCells>
  <phoneticPr fontId="27" type="noConversion"/>
  <pageMargins left="0.25" right="0.25" top="0.25" bottom="0.2" header="0.3" footer="0.3"/>
  <pageSetup paperSize="9" scale="45" fitToWidth="0" orientation="landscape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6"/>
  <sheetViews>
    <sheetView showGridLines="0" tabSelected="1" zoomScale="110" zoomScaleNormal="110" workbookViewId="0">
      <selection activeCell="C12" sqref="C12"/>
    </sheetView>
  </sheetViews>
  <sheetFormatPr defaultColWidth="8.5703125" defaultRowHeight="15" x14ac:dyDescent="0.25"/>
  <cols>
    <col min="2" max="2" width="30.140625" customWidth="1"/>
    <col min="3" max="3" width="20.5703125" customWidth="1"/>
    <col min="4" max="5" width="16.42578125" customWidth="1"/>
    <col min="6" max="6" width="15.42578125" customWidth="1"/>
    <col min="7" max="7" width="16.42578125" customWidth="1"/>
    <col min="8" max="8" width="16.85546875" customWidth="1"/>
    <col min="9" max="9" width="17" customWidth="1"/>
    <col min="10" max="10" width="60.5703125" customWidth="1"/>
    <col min="15" max="15" width="8.5703125" customWidth="1"/>
  </cols>
  <sheetData>
    <row r="1" spans="2:10" ht="12.6" customHeight="1" thickBot="1" x14ac:dyDescent="0.3"/>
    <row r="2" spans="2:10" ht="39.950000000000003" customHeight="1" x14ac:dyDescent="0.25">
      <c r="B2" s="205" t="s">
        <v>178</v>
      </c>
      <c r="C2" s="206"/>
      <c r="D2" s="206"/>
      <c r="E2" s="206"/>
      <c r="F2" s="206"/>
      <c r="G2" s="206"/>
      <c r="H2" s="206"/>
      <c r="I2" s="206"/>
      <c r="J2" s="207"/>
    </row>
    <row r="3" spans="2:10" ht="30" customHeight="1" x14ac:dyDescent="0.25">
      <c r="B3" s="101"/>
      <c r="C3" s="15"/>
      <c r="D3" s="111" t="s">
        <v>6</v>
      </c>
      <c r="E3" s="111" t="s">
        <v>7</v>
      </c>
      <c r="F3" s="111" t="s">
        <v>8</v>
      </c>
      <c r="G3" s="111" t="s">
        <v>14</v>
      </c>
      <c r="H3" s="111" t="s">
        <v>61</v>
      </c>
      <c r="I3" s="208"/>
      <c r="J3" s="209"/>
    </row>
    <row r="4" spans="2:10" ht="39.950000000000003" customHeight="1" x14ac:dyDescent="0.25">
      <c r="B4" s="166" t="s">
        <v>2</v>
      </c>
      <c r="C4" s="179" t="s">
        <v>238</v>
      </c>
      <c r="D4" s="111" t="s">
        <v>59</v>
      </c>
      <c r="E4" s="111" t="s">
        <v>174</v>
      </c>
      <c r="F4" s="111" t="s">
        <v>175</v>
      </c>
      <c r="G4" s="111" t="s">
        <v>216</v>
      </c>
      <c r="H4" s="111" t="s">
        <v>171</v>
      </c>
      <c r="I4" s="111" t="s">
        <v>3</v>
      </c>
      <c r="J4" s="112" t="s">
        <v>215</v>
      </c>
    </row>
    <row r="5" spans="2:10" ht="30" customHeight="1" x14ac:dyDescent="0.25">
      <c r="B5" s="155" t="str">
        <f>Inicial!C18</f>
        <v>Pesquisador/Técnico 1</v>
      </c>
      <c r="C5" s="107" t="s">
        <v>332</v>
      </c>
      <c r="D5" s="28">
        <v>10097</v>
      </c>
      <c r="E5" s="28">
        <f>D5*40/3</f>
        <v>134626.66666666666</v>
      </c>
      <c r="F5" s="28">
        <f>E5/(52*40)</f>
        <v>64.724358974358964</v>
      </c>
      <c r="G5" s="110" t="s">
        <v>177</v>
      </c>
      <c r="H5" s="104">
        <f>Inicial!D18</f>
        <v>0</v>
      </c>
      <c r="I5" s="28">
        <v>0</v>
      </c>
      <c r="J5" s="182" t="s">
        <v>137</v>
      </c>
    </row>
    <row r="6" spans="2:10" ht="30" customHeight="1" x14ac:dyDescent="0.25">
      <c r="B6" s="155" t="str">
        <f>Inicial!C19</f>
        <v>Pesquisador/Técnico 2</v>
      </c>
      <c r="C6" s="184" t="s">
        <v>332</v>
      </c>
      <c r="D6" s="28">
        <v>6734.38</v>
      </c>
      <c r="E6" s="28">
        <f>D6*40/3</f>
        <v>89791.733333333337</v>
      </c>
      <c r="F6" s="28">
        <f>E6/(52*40)</f>
        <v>43.169102564102566</v>
      </c>
      <c r="G6" s="104">
        <v>2</v>
      </c>
      <c r="H6" s="104" t="e">
        <f>(Inicial!$D$16-Inicial!$D$15)/7*G6</f>
        <v>#VALUE!</v>
      </c>
      <c r="I6" s="28" t="e">
        <f>F6*H6</f>
        <v>#VALUE!</v>
      </c>
      <c r="J6" s="182" t="s">
        <v>131</v>
      </c>
    </row>
    <row r="7" spans="2:10" ht="30" customHeight="1" x14ac:dyDescent="0.25">
      <c r="B7" s="155" t="str">
        <f>Inicial!C20</f>
        <v>Pesquisador/Técnico 3</v>
      </c>
      <c r="C7" s="184" t="s">
        <v>332</v>
      </c>
      <c r="D7" s="28">
        <v>6734.38</v>
      </c>
      <c r="E7" s="28">
        <f t="shared" ref="E7:E12" si="0">D7*40/3</f>
        <v>89791.733333333337</v>
      </c>
      <c r="F7" s="28">
        <f t="shared" ref="F7:F12" si="1">E7/(52*40)</f>
        <v>43.169102564102566</v>
      </c>
      <c r="G7" s="104">
        <v>2</v>
      </c>
      <c r="H7" s="104" t="e">
        <f>(Inicial!$D$16-Inicial!$D$15)/7*G7</f>
        <v>#VALUE!</v>
      </c>
      <c r="I7" s="28" t="e">
        <f t="shared" ref="I7:I12" si="2">F7*H7</f>
        <v>#VALUE!</v>
      </c>
      <c r="J7" s="182" t="s">
        <v>132</v>
      </c>
    </row>
    <row r="8" spans="2:10" ht="30" customHeight="1" x14ac:dyDescent="0.25">
      <c r="B8" s="155" t="str">
        <f>Inicial!C21</f>
        <v>Pesquisador/Técnico 4</v>
      </c>
      <c r="C8" s="184" t="s">
        <v>332</v>
      </c>
      <c r="D8" s="28">
        <v>20530.009999999998</v>
      </c>
      <c r="E8" s="28">
        <f t="shared" si="0"/>
        <v>273733.46666666662</v>
      </c>
      <c r="F8" s="28">
        <f t="shared" si="1"/>
        <v>131.60262820512818</v>
      </c>
      <c r="G8" s="104">
        <v>4</v>
      </c>
      <c r="H8" s="104" t="e">
        <f>(Inicial!$D$16-Inicial!$D$15)/7*G8</f>
        <v>#VALUE!</v>
      </c>
      <c r="I8" s="28" t="e">
        <f t="shared" si="2"/>
        <v>#VALUE!</v>
      </c>
      <c r="J8" s="182" t="s">
        <v>133</v>
      </c>
    </row>
    <row r="9" spans="2:10" ht="30" customHeight="1" x14ac:dyDescent="0.25">
      <c r="B9" s="155" t="str">
        <f>Inicial!C22</f>
        <v>Pesquisador/Técnico 5</v>
      </c>
      <c r="C9" s="184" t="s">
        <v>332</v>
      </c>
      <c r="D9" s="28">
        <v>10097</v>
      </c>
      <c r="E9" s="28">
        <f t="shared" si="0"/>
        <v>134626.66666666666</v>
      </c>
      <c r="F9" s="28">
        <f t="shared" si="1"/>
        <v>64.724358974358964</v>
      </c>
      <c r="G9" s="104">
        <v>2</v>
      </c>
      <c r="H9" s="104" t="e">
        <f>(Inicial!$D$16-Inicial!$D$15)/7*G9</f>
        <v>#VALUE!</v>
      </c>
      <c r="I9" s="28" t="e">
        <f t="shared" si="2"/>
        <v>#VALUE!</v>
      </c>
      <c r="J9" s="182" t="s">
        <v>134</v>
      </c>
    </row>
    <row r="10" spans="2:10" ht="30" customHeight="1" x14ac:dyDescent="0.25">
      <c r="B10" s="155" t="str">
        <f>Inicial!C23</f>
        <v>Pesquisador/Técnico 6</v>
      </c>
      <c r="C10" s="184" t="s">
        <v>332</v>
      </c>
      <c r="D10" s="28">
        <v>8753.56</v>
      </c>
      <c r="E10" s="28">
        <f t="shared" si="0"/>
        <v>116714.13333333332</v>
      </c>
      <c r="F10" s="28">
        <f t="shared" si="1"/>
        <v>56.112564102564093</v>
      </c>
      <c r="G10" s="104">
        <v>2</v>
      </c>
      <c r="H10" s="104" t="e">
        <f>(Inicial!$D$16-Inicial!$D$15)/7*G10</f>
        <v>#VALUE!</v>
      </c>
      <c r="I10" s="28" t="e">
        <f t="shared" si="2"/>
        <v>#VALUE!</v>
      </c>
      <c r="J10" s="182" t="s">
        <v>135</v>
      </c>
    </row>
    <row r="11" spans="2:10" ht="30" customHeight="1" x14ac:dyDescent="0.25">
      <c r="B11" s="155" t="str">
        <f>Inicial!C24</f>
        <v>Pesquisador/Técnico 7</v>
      </c>
      <c r="C11" s="184" t="s">
        <v>332</v>
      </c>
      <c r="D11" s="28">
        <v>10435.459999999999</v>
      </c>
      <c r="E11" s="28">
        <f t="shared" si="0"/>
        <v>139139.46666666665</v>
      </c>
      <c r="F11" s="28">
        <f t="shared" si="1"/>
        <v>66.893974358974347</v>
      </c>
      <c r="G11" s="104">
        <v>2</v>
      </c>
      <c r="H11" s="104" t="e">
        <f>(Inicial!$D$16-Inicial!$D$15)/7*G11</f>
        <v>#VALUE!</v>
      </c>
      <c r="I11" s="28" t="e">
        <f t="shared" si="2"/>
        <v>#VALUE!</v>
      </c>
      <c r="J11" s="182" t="s">
        <v>136</v>
      </c>
    </row>
    <row r="12" spans="2:10" ht="30" customHeight="1" x14ac:dyDescent="0.25">
      <c r="B12" s="155" t="str">
        <f>Inicial!C25</f>
        <v>Pesquisador/Técnico 8</v>
      </c>
      <c r="C12" s="184" t="s">
        <v>332</v>
      </c>
      <c r="D12" s="28">
        <v>19639.150000000001</v>
      </c>
      <c r="E12" s="28">
        <f t="shared" si="0"/>
        <v>261855.33333333334</v>
      </c>
      <c r="F12" s="28">
        <f t="shared" si="1"/>
        <v>125.89198717948719</v>
      </c>
      <c r="G12" s="104">
        <v>4</v>
      </c>
      <c r="H12" s="104" t="e">
        <f>(Inicial!$D$16-Inicial!$D$15)/7*G12</f>
        <v>#VALUE!</v>
      </c>
      <c r="I12" s="28" t="e">
        <f t="shared" si="2"/>
        <v>#VALUE!</v>
      </c>
      <c r="J12" s="182" t="s">
        <v>104</v>
      </c>
    </row>
    <row r="13" spans="2:10" ht="30" customHeight="1" thickBot="1" x14ac:dyDescent="0.3">
      <c r="B13" s="202"/>
      <c r="C13" s="203"/>
      <c r="D13" s="204"/>
      <c r="E13" s="204"/>
      <c r="F13" s="204"/>
      <c r="G13" s="204"/>
      <c r="H13" s="204"/>
      <c r="I13" s="165" t="e">
        <f>SUM(I5:I12)</f>
        <v>#VALUE!</v>
      </c>
      <c r="J13" s="168"/>
    </row>
    <row r="14" spans="2:10" ht="13.5" customHeight="1" x14ac:dyDescent="0.25">
      <c r="I14" s="108"/>
    </row>
    <row r="15" spans="2:10" x14ac:dyDescent="0.25">
      <c r="B15" t="s">
        <v>78</v>
      </c>
    </row>
    <row r="16" spans="2:10" x14ac:dyDescent="0.25">
      <c r="B16" t="s">
        <v>170</v>
      </c>
    </row>
  </sheetData>
  <mergeCells count="3">
    <mergeCell ref="B13:H13"/>
    <mergeCell ref="B2:J2"/>
    <mergeCell ref="I3:J3"/>
  </mergeCells>
  <hyperlinks>
    <hyperlink ref="J5" r:id="rId1"/>
    <hyperlink ref="J12" r:id="rId2"/>
    <hyperlink ref="J6" r:id="rId3"/>
    <hyperlink ref="J7" r:id="rId4"/>
    <hyperlink ref="J8" r:id="rId5"/>
    <hyperlink ref="J9" r:id="rId6"/>
    <hyperlink ref="J10" r:id="rId7"/>
    <hyperlink ref="J11" r:id="rId8"/>
  </hyperlinks>
  <pageMargins left="0.511811024" right="0.511811024" top="0.78740157499999996" bottom="0.78740157499999996" header="0.31496062000000002" footer="0.31496062000000002"/>
  <pageSetup paperSize="9" scale="62" fitToHeight="0" orientation="landscape" r:id="rId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7"/>
  <sheetViews>
    <sheetView showGridLines="0" zoomScale="80" zoomScaleNormal="80" workbookViewId="0">
      <selection activeCell="C22" sqref="C22"/>
    </sheetView>
  </sheetViews>
  <sheetFormatPr defaultColWidth="8.5703125" defaultRowHeight="15" x14ac:dyDescent="0.25"/>
  <cols>
    <col min="2" max="2" width="27.42578125" customWidth="1"/>
    <col min="3" max="3" width="47.5703125" customWidth="1"/>
    <col min="4" max="4" width="16.42578125" customWidth="1"/>
    <col min="5" max="5" width="22.42578125" customWidth="1"/>
    <col min="6" max="6" width="16.42578125" customWidth="1"/>
    <col min="7" max="7" width="18.42578125" customWidth="1"/>
    <col min="8" max="8" width="20.42578125" customWidth="1"/>
    <col min="9" max="9" width="23" customWidth="1"/>
    <col min="10" max="10" width="64" style="175" customWidth="1"/>
  </cols>
  <sheetData>
    <row r="1" spans="2:10" ht="15.75" thickBot="1" x14ac:dyDescent="0.3"/>
    <row r="2" spans="2:10" ht="39.950000000000003" customHeight="1" x14ac:dyDescent="0.25">
      <c r="B2" s="210" t="s">
        <v>0</v>
      </c>
      <c r="C2" s="211"/>
      <c r="D2" s="211"/>
      <c r="E2" s="211"/>
      <c r="F2" s="211"/>
      <c r="G2" s="211"/>
      <c r="H2" s="211"/>
      <c r="I2" s="211"/>
      <c r="J2" s="212"/>
    </row>
    <row r="3" spans="2:10" s="173" customFormat="1" ht="30" customHeight="1" x14ac:dyDescent="0.25">
      <c r="B3" s="172"/>
      <c r="C3" s="111"/>
      <c r="D3" s="111" t="s">
        <v>6</v>
      </c>
      <c r="E3" s="111" t="s">
        <v>7</v>
      </c>
      <c r="F3" s="111" t="s">
        <v>8</v>
      </c>
      <c r="G3" s="111" t="s">
        <v>14</v>
      </c>
      <c r="H3" s="111" t="s">
        <v>61</v>
      </c>
      <c r="I3" s="111" t="s">
        <v>62</v>
      </c>
      <c r="J3" s="176"/>
    </row>
    <row r="4" spans="2:10" s="173" customFormat="1" ht="50.1" customHeight="1" x14ac:dyDescent="0.25">
      <c r="B4" s="174"/>
      <c r="C4" s="111" t="s">
        <v>2</v>
      </c>
      <c r="D4" s="111" t="s">
        <v>59</v>
      </c>
      <c r="E4" s="111" t="s">
        <v>60</v>
      </c>
      <c r="F4" s="111" t="s">
        <v>217</v>
      </c>
      <c r="G4" s="111" t="s">
        <v>67</v>
      </c>
      <c r="H4" s="111" t="s">
        <v>218</v>
      </c>
      <c r="I4" s="111" t="s">
        <v>3</v>
      </c>
      <c r="J4" s="112" t="s">
        <v>215</v>
      </c>
    </row>
    <row r="5" spans="2:10" ht="30" customHeight="1" x14ac:dyDescent="0.25">
      <c r="B5" s="213" t="s">
        <v>173</v>
      </c>
      <c r="C5" s="180"/>
      <c r="D5" s="28"/>
      <c r="E5" s="28">
        <f>D5*40/3</f>
        <v>0</v>
      </c>
      <c r="F5" s="104">
        <v>0</v>
      </c>
      <c r="G5" s="169">
        <f>F5/40</f>
        <v>0</v>
      </c>
      <c r="H5" s="104" t="e">
        <f>(Inicial!$D$16-Inicial!$D$15)/365</f>
        <v>#VALUE!</v>
      </c>
      <c r="I5" s="28" t="e">
        <f>E5*G5*H5</f>
        <v>#VALUE!</v>
      </c>
      <c r="J5" s="167"/>
    </row>
    <row r="6" spans="2:10" ht="30" customHeight="1" x14ac:dyDescent="0.25">
      <c r="B6" s="213"/>
      <c r="C6" s="180" t="str">
        <f>Inicial!C22</f>
        <v>Pesquisador/Técnico 5</v>
      </c>
      <c r="D6" s="28">
        <v>10097</v>
      </c>
      <c r="E6" s="28">
        <f t="shared" ref="E6:E30" si="0">D6*40/3</f>
        <v>134626.66666666666</v>
      </c>
      <c r="F6" s="104">
        <v>1</v>
      </c>
      <c r="G6" s="169">
        <f t="shared" ref="G6:G30" si="1">F6/40</f>
        <v>2.5000000000000001E-2</v>
      </c>
      <c r="H6" s="104" t="e">
        <f>(Inicial!$D$16-Inicial!$D$15)/365</f>
        <v>#VALUE!</v>
      </c>
      <c r="I6" s="28" t="e">
        <f t="shared" ref="I6:I21" si="2">E6*G6*H6</f>
        <v>#VALUE!</v>
      </c>
      <c r="J6" s="182" t="s">
        <v>134</v>
      </c>
    </row>
    <row r="7" spans="2:10" ht="30" customHeight="1" x14ac:dyDescent="0.25">
      <c r="B7" s="101" t="s">
        <v>97</v>
      </c>
      <c r="C7" s="180" t="s">
        <v>275</v>
      </c>
      <c r="D7" s="28">
        <v>28614.48</v>
      </c>
      <c r="E7" s="28">
        <f t="shared" ref="E7" si="3">D7*40/3</f>
        <v>381526.39999999997</v>
      </c>
      <c r="F7" s="104">
        <v>0.1</v>
      </c>
      <c r="G7" s="169">
        <f t="shared" ref="G7" si="4">F7/40</f>
        <v>2.5000000000000001E-3</v>
      </c>
      <c r="H7" s="104" t="e">
        <f>(Inicial!$D$16-Inicial!$D$15)/365</f>
        <v>#VALUE!</v>
      </c>
      <c r="I7" s="28" t="e">
        <f t="shared" si="2"/>
        <v>#VALUE!</v>
      </c>
      <c r="J7" s="167" t="s">
        <v>106</v>
      </c>
    </row>
    <row r="8" spans="2:10" ht="30" customHeight="1" x14ac:dyDescent="0.25">
      <c r="B8" s="213" t="s">
        <v>65</v>
      </c>
      <c r="C8" s="181" t="s">
        <v>318</v>
      </c>
      <c r="D8" s="28">
        <v>20479.759999999998</v>
      </c>
      <c r="E8" s="28">
        <f>D8*40/3</f>
        <v>273063.46666666662</v>
      </c>
      <c r="F8" s="104">
        <v>0.2</v>
      </c>
      <c r="G8" s="169">
        <f>F8/40</f>
        <v>5.0000000000000001E-3</v>
      </c>
      <c r="H8" s="104" t="e">
        <f>(Inicial!$D$16-Inicial!$D$15)/365</f>
        <v>#VALUE!</v>
      </c>
      <c r="I8" s="28" t="e">
        <f t="shared" si="2"/>
        <v>#VALUE!</v>
      </c>
      <c r="J8" s="167" t="s">
        <v>118</v>
      </c>
    </row>
    <row r="9" spans="2:10" ht="30" customHeight="1" x14ac:dyDescent="0.25">
      <c r="B9" s="213"/>
      <c r="C9" s="181" t="s">
        <v>319</v>
      </c>
      <c r="D9" s="28">
        <v>14926.67</v>
      </c>
      <c r="E9" s="28">
        <f t="shared" ref="E9:E12" si="5">D9*40/3</f>
        <v>199022.26666666669</v>
      </c>
      <c r="F9" s="104">
        <v>0.2</v>
      </c>
      <c r="G9" s="169">
        <f t="shared" ref="G9:G12" si="6">F9/40</f>
        <v>5.0000000000000001E-3</v>
      </c>
      <c r="H9" s="104" t="e">
        <f>(Inicial!$D$16-Inicial!$D$15)/365</f>
        <v>#VALUE!</v>
      </c>
      <c r="I9" s="28" t="e">
        <f t="shared" si="2"/>
        <v>#VALUE!</v>
      </c>
      <c r="J9" s="167" t="s">
        <v>119</v>
      </c>
    </row>
    <row r="10" spans="2:10" ht="30" customHeight="1" x14ac:dyDescent="0.25">
      <c r="B10" s="213"/>
      <c r="C10" s="181" t="s">
        <v>320</v>
      </c>
      <c r="D10" s="28">
        <v>13775.27</v>
      </c>
      <c r="E10" s="28">
        <f t="shared" si="5"/>
        <v>183670.26666666669</v>
      </c>
      <c r="F10" s="104">
        <v>0.2</v>
      </c>
      <c r="G10" s="169">
        <f t="shared" si="6"/>
        <v>5.0000000000000001E-3</v>
      </c>
      <c r="H10" s="104" t="e">
        <f>(Inicial!$D$16-Inicial!$D$15)/365</f>
        <v>#VALUE!</v>
      </c>
      <c r="I10" s="28" t="e">
        <f t="shared" si="2"/>
        <v>#VALUE!</v>
      </c>
      <c r="J10" s="167" t="s">
        <v>120</v>
      </c>
    </row>
    <row r="11" spans="2:10" ht="30" customHeight="1" x14ac:dyDescent="0.25">
      <c r="B11" s="213"/>
      <c r="C11" s="181" t="s">
        <v>321</v>
      </c>
      <c r="D11" s="28">
        <v>13640.66</v>
      </c>
      <c r="E11" s="28">
        <f t="shared" si="5"/>
        <v>181875.46666666667</v>
      </c>
      <c r="F11" s="104">
        <v>0.2</v>
      </c>
      <c r="G11" s="169">
        <f t="shared" si="6"/>
        <v>5.0000000000000001E-3</v>
      </c>
      <c r="H11" s="104" t="e">
        <f>(Inicial!$D$16-Inicial!$D$15)/365</f>
        <v>#VALUE!</v>
      </c>
      <c r="I11" s="28" t="e">
        <f t="shared" si="2"/>
        <v>#VALUE!</v>
      </c>
      <c r="J11" s="167" t="s">
        <v>121</v>
      </c>
    </row>
    <row r="12" spans="2:10" ht="30" customHeight="1" x14ac:dyDescent="0.25">
      <c r="B12" s="213"/>
      <c r="C12" s="181" t="s">
        <v>322</v>
      </c>
      <c r="D12" s="28">
        <v>7011.9</v>
      </c>
      <c r="E12" s="28">
        <f t="shared" si="5"/>
        <v>93492</v>
      </c>
      <c r="F12" s="104">
        <v>0.2</v>
      </c>
      <c r="G12" s="169">
        <f t="shared" si="6"/>
        <v>5.0000000000000001E-3</v>
      </c>
      <c r="H12" s="104" t="e">
        <f>(Inicial!$D$16-Inicial!$D$15)/365</f>
        <v>#VALUE!</v>
      </c>
      <c r="I12" s="28" t="e">
        <f t="shared" si="2"/>
        <v>#VALUE!</v>
      </c>
      <c r="J12" s="167" t="s">
        <v>122</v>
      </c>
    </row>
    <row r="13" spans="2:10" ht="30" customHeight="1" x14ac:dyDescent="0.25">
      <c r="B13" s="213"/>
      <c r="C13" s="181" t="s">
        <v>323</v>
      </c>
      <c r="D13" s="28">
        <v>7011.9</v>
      </c>
      <c r="E13" s="28">
        <f t="shared" ref="E13:E21" si="7">D13*40/3</f>
        <v>93492</v>
      </c>
      <c r="F13" s="104">
        <v>0.2</v>
      </c>
      <c r="G13" s="169">
        <f t="shared" ref="G13:G21" si="8">F13/40</f>
        <v>5.0000000000000001E-3</v>
      </c>
      <c r="H13" s="104" t="e">
        <f>(Inicial!$D$16-Inicial!$D$15)/365</f>
        <v>#VALUE!</v>
      </c>
      <c r="I13" s="28" t="e">
        <f t="shared" si="2"/>
        <v>#VALUE!</v>
      </c>
      <c r="J13" s="167" t="s">
        <v>123</v>
      </c>
    </row>
    <row r="14" spans="2:10" ht="30" customHeight="1" x14ac:dyDescent="0.25">
      <c r="B14" s="213"/>
      <c r="C14" s="181" t="s">
        <v>324</v>
      </c>
      <c r="D14" s="28">
        <v>7011.9</v>
      </c>
      <c r="E14" s="28">
        <f t="shared" si="7"/>
        <v>93492</v>
      </c>
      <c r="F14" s="104">
        <v>0.2</v>
      </c>
      <c r="G14" s="169">
        <f t="shared" si="8"/>
        <v>5.0000000000000001E-3</v>
      </c>
      <c r="H14" s="104" t="e">
        <f>(Inicial!$D$16-Inicial!$D$15)/365</f>
        <v>#VALUE!</v>
      </c>
      <c r="I14" s="28" t="e">
        <f t="shared" si="2"/>
        <v>#VALUE!</v>
      </c>
      <c r="J14" s="167" t="s">
        <v>124</v>
      </c>
    </row>
    <row r="15" spans="2:10" ht="30" customHeight="1" x14ac:dyDescent="0.25">
      <c r="B15" s="213"/>
      <c r="C15" s="181" t="s">
        <v>325</v>
      </c>
      <c r="D15" s="28">
        <v>7011.9</v>
      </c>
      <c r="E15" s="28">
        <f t="shared" si="7"/>
        <v>93492</v>
      </c>
      <c r="F15" s="104">
        <v>0.2</v>
      </c>
      <c r="G15" s="169">
        <f t="shared" si="8"/>
        <v>5.0000000000000001E-3</v>
      </c>
      <c r="H15" s="104" t="e">
        <f>(Inicial!$D$16-Inicial!$D$15)/365</f>
        <v>#VALUE!</v>
      </c>
      <c r="I15" s="28" t="e">
        <f t="shared" si="2"/>
        <v>#VALUE!</v>
      </c>
      <c r="J15" s="167" t="s">
        <v>125</v>
      </c>
    </row>
    <row r="16" spans="2:10" ht="30" customHeight="1" x14ac:dyDescent="0.25">
      <c r="B16" s="213"/>
      <c r="C16" s="181" t="s">
        <v>326</v>
      </c>
      <c r="D16" s="28">
        <v>9566.64</v>
      </c>
      <c r="E16" s="28">
        <f t="shared" si="7"/>
        <v>127555.2</v>
      </c>
      <c r="F16" s="104">
        <v>0.2</v>
      </c>
      <c r="G16" s="169">
        <f t="shared" si="8"/>
        <v>5.0000000000000001E-3</v>
      </c>
      <c r="H16" s="104" t="e">
        <f>(Inicial!$D$16-Inicial!$D$15)/365</f>
        <v>#VALUE!</v>
      </c>
      <c r="I16" s="28" t="e">
        <f t="shared" si="2"/>
        <v>#VALUE!</v>
      </c>
      <c r="J16" s="167" t="s">
        <v>138</v>
      </c>
    </row>
    <row r="17" spans="2:10" ht="30" customHeight="1" x14ac:dyDescent="0.25">
      <c r="B17" s="213"/>
      <c r="C17" s="181" t="s">
        <v>327</v>
      </c>
      <c r="D17" s="28">
        <v>8753.56</v>
      </c>
      <c r="E17" s="28">
        <f t="shared" si="7"/>
        <v>116714.13333333332</v>
      </c>
      <c r="F17" s="104">
        <v>0.2</v>
      </c>
      <c r="G17" s="169">
        <f t="shared" si="8"/>
        <v>5.0000000000000001E-3</v>
      </c>
      <c r="H17" s="104" t="e">
        <f>(Inicial!$D$16-Inicial!$D$15)/365</f>
        <v>#VALUE!</v>
      </c>
      <c r="I17" s="28" t="e">
        <f t="shared" si="2"/>
        <v>#VALUE!</v>
      </c>
      <c r="J17" s="167" t="s">
        <v>126</v>
      </c>
    </row>
    <row r="18" spans="2:10" ht="30" customHeight="1" x14ac:dyDescent="0.25">
      <c r="B18" s="213"/>
      <c r="C18" s="181" t="s">
        <v>328</v>
      </c>
      <c r="D18" s="28">
        <v>8753.56</v>
      </c>
      <c r="E18" s="28">
        <f t="shared" si="7"/>
        <v>116714.13333333332</v>
      </c>
      <c r="F18" s="104">
        <v>0.2</v>
      </c>
      <c r="G18" s="169">
        <f t="shared" si="8"/>
        <v>5.0000000000000001E-3</v>
      </c>
      <c r="H18" s="104" t="e">
        <f>(Inicial!$D$16-Inicial!$D$15)/365</f>
        <v>#VALUE!</v>
      </c>
      <c r="I18" s="28" t="e">
        <f t="shared" si="2"/>
        <v>#VALUE!</v>
      </c>
      <c r="J18" s="167" t="s">
        <v>127</v>
      </c>
    </row>
    <row r="19" spans="2:10" ht="30" customHeight="1" x14ac:dyDescent="0.25">
      <c r="B19" s="213"/>
      <c r="C19" s="181" t="s">
        <v>329</v>
      </c>
      <c r="D19" s="28">
        <v>6734.38</v>
      </c>
      <c r="E19" s="28">
        <f t="shared" si="7"/>
        <v>89791.733333333337</v>
      </c>
      <c r="F19" s="104">
        <v>0.2</v>
      </c>
      <c r="G19" s="169">
        <f t="shared" si="8"/>
        <v>5.0000000000000001E-3</v>
      </c>
      <c r="H19" s="104" t="e">
        <f>(Inicial!$D$16-Inicial!$D$15)/365</f>
        <v>#VALUE!</v>
      </c>
      <c r="I19" s="28" t="e">
        <f t="shared" si="2"/>
        <v>#VALUE!</v>
      </c>
      <c r="J19" s="167" t="s">
        <v>128</v>
      </c>
    </row>
    <row r="20" spans="2:10" ht="30" customHeight="1" x14ac:dyDescent="0.25">
      <c r="B20" s="213"/>
      <c r="C20" s="181" t="s">
        <v>330</v>
      </c>
      <c r="D20" s="28">
        <v>6734.38</v>
      </c>
      <c r="E20" s="28">
        <f t="shared" si="7"/>
        <v>89791.733333333337</v>
      </c>
      <c r="F20" s="104">
        <v>0.2</v>
      </c>
      <c r="G20" s="169">
        <f t="shared" si="8"/>
        <v>5.0000000000000001E-3</v>
      </c>
      <c r="H20" s="104" t="e">
        <f>(Inicial!$D$16-Inicial!$D$15)/365</f>
        <v>#VALUE!</v>
      </c>
      <c r="I20" s="28" t="e">
        <f t="shared" si="2"/>
        <v>#VALUE!</v>
      </c>
      <c r="J20" s="167" t="s">
        <v>129</v>
      </c>
    </row>
    <row r="21" spans="2:10" ht="30" customHeight="1" x14ac:dyDescent="0.25">
      <c r="B21" s="213"/>
      <c r="C21" s="181" t="s">
        <v>331</v>
      </c>
      <c r="D21" s="28">
        <v>6523.38</v>
      </c>
      <c r="E21" s="28">
        <f t="shared" si="7"/>
        <v>86978.400000000009</v>
      </c>
      <c r="F21" s="104">
        <v>0.2</v>
      </c>
      <c r="G21" s="169">
        <f t="shared" si="8"/>
        <v>5.0000000000000001E-3</v>
      </c>
      <c r="H21" s="104" t="e">
        <f>(Inicial!$D$16-Inicial!$D$15)/365</f>
        <v>#VALUE!</v>
      </c>
      <c r="I21" s="28" t="e">
        <f t="shared" si="2"/>
        <v>#VALUE!</v>
      </c>
      <c r="J21" s="167" t="s">
        <v>130</v>
      </c>
    </row>
    <row r="22" spans="2:10" ht="30" customHeight="1" x14ac:dyDescent="0.25">
      <c r="B22" s="213" t="s">
        <v>207</v>
      </c>
      <c r="C22" s="180" t="s">
        <v>276</v>
      </c>
      <c r="D22" s="28">
        <v>24955.7</v>
      </c>
      <c r="E22" s="28">
        <f t="shared" si="0"/>
        <v>332742.66666666669</v>
      </c>
      <c r="F22" s="104">
        <v>0.2</v>
      </c>
      <c r="G22" s="169">
        <v>0</v>
      </c>
      <c r="H22" s="104" t="e">
        <f>(Inicial!$D$16-Inicial!$D$15)/365</f>
        <v>#VALUE!</v>
      </c>
      <c r="I22" s="28" t="e">
        <f t="shared" ref="I22:I34" si="9">E22*G22*H22</f>
        <v>#VALUE!</v>
      </c>
      <c r="J22" s="167" t="s">
        <v>105</v>
      </c>
    </row>
    <row r="23" spans="2:10" ht="30" customHeight="1" x14ac:dyDescent="0.25">
      <c r="B23" s="213"/>
      <c r="C23" s="180" t="s">
        <v>277</v>
      </c>
      <c r="D23" s="28">
        <v>11072.51</v>
      </c>
      <c r="E23" s="28">
        <f t="shared" si="0"/>
        <v>147633.46666666667</v>
      </c>
      <c r="F23" s="104">
        <v>0</v>
      </c>
      <c r="G23" s="169">
        <f t="shared" si="1"/>
        <v>0</v>
      </c>
      <c r="H23" s="104" t="e">
        <f>(Inicial!$D$16-Inicial!$D$15)/365</f>
        <v>#VALUE!</v>
      </c>
      <c r="I23" s="28" t="e">
        <f t="shared" si="9"/>
        <v>#VALUE!</v>
      </c>
      <c r="J23" s="167" t="s">
        <v>104</v>
      </c>
    </row>
    <row r="24" spans="2:10" ht="30" customHeight="1" x14ac:dyDescent="0.25">
      <c r="B24" s="213"/>
      <c r="C24" s="180" t="s">
        <v>278</v>
      </c>
      <c r="D24" s="28">
        <v>1608.4</v>
      </c>
      <c r="E24" s="28">
        <f t="shared" ref="E24:E26" si="10">D24*40/3</f>
        <v>21445.333333333332</v>
      </c>
      <c r="F24" s="104">
        <v>0</v>
      </c>
      <c r="G24" s="169">
        <f t="shared" ref="G24:G26" si="11">F24/40</f>
        <v>0</v>
      </c>
      <c r="H24" s="104" t="e">
        <f>(Inicial!$D$16-Inicial!$D$15)/365</f>
        <v>#VALUE!</v>
      </c>
      <c r="I24" s="28" t="e">
        <f t="shared" si="9"/>
        <v>#VALUE!</v>
      </c>
      <c r="J24" s="167" t="s">
        <v>109</v>
      </c>
    </row>
    <row r="25" spans="2:10" ht="30" customHeight="1" x14ac:dyDescent="0.25">
      <c r="B25" s="213"/>
      <c r="C25" s="180" t="s">
        <v>279</v>
      </c>
      <c r="D25" s="28">
        <v>6734.38</v>
      </c>
      <c r="E25" s="28">
        <f t="shared" si="10"/>
        <v>89791.733333333337</v>
      </c>
      <c r="F25" s="104">
        <v>0.2</v>
      </c>
      <c r="G25" s="169">
        <f t="shared" si="11"/>
        <v>5.0000000000000001E-3</v>
      </c>
      <c r="H25" s="104" t="e">
        <f>(Inicial!$D$16-Inicial!$D$15)/365</f>
        <v>#VALUE!</v>
      </c>
      <c r="I25" s="28" t="e">
        <f t="shared" si="9"/>
        <v>#VALUE!</v>
      </c>
      <c r="J25" s="167" t="s">
        <v>107</v>
      </c>
    </row>
    <row r="26" spans="2:10" ht="30" customHeight="1" x14ac:dyDescent="0.25">
      <c r="B26" s="213"/>
      <c r="C26" s="180" t="s">
        <v>280</v>
      </c>
      <c r="D26" s="28">
        <v>15006.96</v>
      </c>
      <c r="E26" s="28">
        <f t="shared" si="10"/>
        <v>200092.79999999996</v>
      </c>
      <c r="F26" s="104">
        <v>0.2</v>
      </c>
      <c r="G26" s="169">
        <f t="shared" si="11"/>
        <v>5.0000000000000001E-3</v>
      </c>
      <c r="H26" s="104" t="e">
        <f>(Inicial!$D$16-Inicial!$D$15)/365</f>
        <v>#VALUE!</v>
      </c>
      <c r="I26" s="28" t="e">
        <f t="shared" si="9"/>
        <v>#VALUE!</v>
      </c>
      <c r="J26" s="167" t="s">
        <v>110</v>
      </c>
    </row>
    <row r="27" spans="2:10" ht="30" customHeight="1" x14ac:dyDescent="0.25">
      <c r="B27" s="213"/>
      <c r="C27" s="180" t="s">
        <v>281</v>
      </c>
      <c r="D27" s="28">
        <v>14234.83</v>
      </c>
      <c r="E27" s="28">
        <f t="shared" ref="E27" si="12">D27*40/3</f>
        <v>189797.73333333331</v>
      </c>
      <c r="F27" s="104">
        <v>0.2</v>
      </c>
      <c r="G27" s="169">
        <f t="shared" ref="G27" si="13">F27/40</f>
        <v>5.0000000000000001E-3</v>
      </c>
      <c r="H27" s="104" t="e">
        <f>(Inicial!$D$16-Inicial!$D$15)/365</f>
        <v>#VALUE!</v>
      </c>
      <c r="I27" s="28" t="e">
        <f t="shared" ref="I27" si="14">E27*G27*H27</f>
        <v>#VALUE!</v>
      </c>
      <c r="J27" s="167" t="s">
        <v>108</v>
      </c>
    </row>
    <row r="28" spans="2:10" ht="30" customHeight="1" x14ac:dyDescent="0.25">
      <c r="B28" s="213" t="s">
        <v>1</v>
      </c>
      <c r="C28" s="180" t="s">
        <v>282</v>
      </c>
      <c r="D28" s="28">
        <v>21712.5</v>
      </c>
      <c r="E28" s="28">
        <f t="shared" si="0"/>
        <v>289500</v>
      </c>
      <c r="F28" s="104">
        <v>0.2</v>
      </c>
      <c r="G28" s="169">
        <f t="shared" si="1"/>
        <v>5.0000000000000001E-3</v>
      </c>
      <c r="H28" s="104" t="e">
        <f>(Inicial!$D$16-Inicial!$D$15)/365</f>
        <v>#VALUE!</v>
      </c>
      <c r="I28" s="28" t="e">
        <f t="shared" si="9"/>
        <v>#VALUE!</v>
      </c>
      <c r="J28" s="167" t="s">
        <v>111</v>
      </c>
    </row>
    <row r="29" spans="2:10" ht="30" customHeight="1" x14ac:dyDescent="0.25">
      <c r="B29" s="213"/>
      <c r="C29" s="180" t="s">
        <v>283</v>
      </c>
      <c r="D29" s="28">
        <v>23694.93</v>
      </c>
      <c r="E29" s="28">
        <f t="shared" si="0"/>
        <v>315932.39999999997</v>
      </c>
      <c r="F29" s="104">
        <v>0.2</v>
      </c>
      <c r="G29" s="169">
        <f t="shared" si="1"/>
        <v>5.0000000000000001E-3</v>
      </c>
      <c r="H29" s="104" t="e">
        <f>(Inicial!$D$16-Inicial!$D$15)/365</f>
        <v>#VALUE!</v>
      </c>
      <c r="I29" s="28" t="e">
        <f t="shared" si="9"/>
        <v>#VALUE!</v>
      </c>
      <c r="J29" s="167" t="s">
        <v>113</v>
      </c>
    </row>
    <row r="30" spans="2:10" ht="30" customHeight="1" x14ac:dyDescent="0.25">
      <c r="B30" s="213"/>
      <c r="C30" s="180" t="s">
        <v>284</v>
      </c>
      <c r="D30" s="28">
        <v>7011.9</v>
      </c>
      <c r="E30" s="28">
        <f t="shared" si="0"/>
        <v>93492</v>
      </c>
      <c r="F30" s="104">
        <v>0.2</v>
      </c>
      <c r="G30" s="169">
        <f t="shared" si="1"/>
        <v>5.0000000000000001E-3</v>
      </c>
      <c r="H30" s="104" t="e">
        <f>(Inicial!$D$16-Inicial!$D$15)/365</f>
        <v>#VALUE!</v>
      </c>
      <c r="I30" s="28" t="e">
        <f t="shared" si="9"/>
        <v>#VALUE!</v>
      </c>
      <c r="J30" s="167" t="s">
        <v>114</v>
      </c>
    </row>
    <row r="31" spans="2:10" ht="30" customHeight="1" x14ac:dyDescent="0.25">
      <c r="B31" s="213"/>
      <c r="C31" s="180" t="s">
        <v>285</v>
      </c>
      <c r="D31" s="28">
        <v>3625.26</v>
      </c>
      <c r="E31" s="28">
        <f>D31*40/3</f>
        <v>48336.80000000001</v>
      </c>
      <c r="F31" s="104">
        <v>0.2</v>
      </c>
      <c r="G31" s="169">
        <f>F31/40</f>
        <v>5.0000000000000001E-3</v>
      </c>
      <c r="H31" s="104" t="e">
        <f>(Inicial!$D$16-Inicial!$D$15)/365</f>
        <v>#VALUE!</v>
      </c>
      <c r="I31" s="28" t="e">
        <f t="shared" si="9"/>
        <v>#VALUE!</v>
      </c>
      <c r="J31" s="167" t="s">
        <v>112</v>
      </c>
    </row>
    <row r="32" spans="2:10" ht="30" customHeight="1" x14ac:dyDescent="0.25">
      <c r="B32" s="213"/>
      <c r="C32" s="180" t="s">
        <v>286</v>
      </c>
      <c r="D32" s="28">
        <v>5393.25</v>
      </c>
      <c r="E32" s="28">
        <f>D32*40/3</f>
        <v>71910</v>
      </c>
      <c r="F32" s="104">
        <v>0.2</v>
      </c>
      <c r="G32" s="169">
        <f>F32/40</f>
        <v>5.0000000000000001E-3</v>
      </c>
      <c r="H32" s="104" t="e">
        <f>(Inicial!$D$16-Inicial!$D$15)/365</f>
        <v>#VALUE!</v>
      </c>
      <c r="I32" s="28" t="e">
        <f t="shared" si="9"/>
        <v>#VALUE!</v>
      </c>
      <c r="J32" s="167" t="s">
        <v>115</v>
      </c>
    </row>
    <row r="33" spans="2:10" ht="30" customHeight="1" x14ac:dyDescent="0.25">
      <c r="B33" s="213"/>
      <c r="C33" s="180" t="s">
        <v>287</v>
      </c>
      <c r="D33" s="28">
        <v>5393.25</v>
      </c>
      <c r="E33" s="28">
        <f>D33*40/3</f>
        <v>71910</v>
      </c>
      <c r="F33" s="104">
        <v>0.2</v>
      </c>
      <c r="G33" s="169">
        <f>F33/40</f>
        <v>5.0000000000000001E-3</v>
      </c>
      <c r="H33" s="104" t="e">
        <f>(Inicial!$D$16-Inicial!$D$15)/365</f>
        <v>#VALUE!</v>
      </c>
      <c r="I33" s="28" t="e">
        <f t="shared" si="9"/>
        <v>#VALUE!</v>
      </c>
      <c r="J33" s="167" t="s">
        <v>116</v>
      </c>
    </row>
    <row r="34" spans="2:10" ht="30" customHeight="1" x14ac:dyDescent="0.25">
      <c r="B34" s="213"/>
      <c r="C34" s="180" t="s">
        <v>288</v>
      </c>
      <c r="D34" s="28">
        <v>6523.38</v>
      </c>
      <c r="E34" s="28">
        <f>D34*40/3</f>
        <v>86978.400000000009</v>
      </c>
      <c r="F34" s="104">
        <v>0.2</v>
      </c>
      <c r="G34" s="169">
        <f>F34/40</f>
        <v>5.0000000000000001E-3</v>
      </c>
      <c r="H34" s="104" t="e">
        <f>(Inicial!$D$16-Inicial!$D$15)/365</f>
        <v>#VALUE!</v>
      </c>
      <c r="I34" s="28" t="e">
        <f t="shared" si="9"/>
        <v>#VALUE!</v>
      </c>
      <c r="J34" s="167" t="s">
        <v>117</v>
      </c>
    </row>
    <row r="35" spans="2:10" ht="30" customHeight="1" x14ac:dyDescent="0.25">
      <c r="B35" s="213" t="s">
        <v>150</v>
      </c>
      <c r="C35" s="180" t="s">
        <v>289</v>
      </c>
      <c r="D35" s="28">
        <v>14576.4</v>
      </c>
      <c r="E35" s="28">
        <f t="shared" ref="E35:E53" si="15">D35*40/3</f>
        <v>194352</v>
      </c>
      <c r="F35" s="104">
        <v>0.2</v>
      </c>
      <c r="G35" s="169">
        <f t="shared" ref="G35:G46" si="16">F35/40</f>
        <v>5.0000000000000001E-3</v>
      </c>
      <c r="H35" s="104" t="e">
        <f>(Inicial!$D$16-Inicial!$D$15)/365</f>
        <v>#VALUE!</v>
      </c>
      <c r="I35" s="28" t="e">
        <f t="shared" ref="I35:I46" si="17">E35*G35*H35</f>
        <v>#VALUE!</v>
      </c>
      <c r="J35" s="167" t="s">
        <v>139</v>
      </c>
    </row>
    <row r="36" spans="2:10" ht="30" customHeight="1" x14ac:dyDescent="0.25">
      <c r="B36" s="213"/>
      <c r="C36" s="180" t="s">
        <v>290</v>
      </c>
      <c r="D36" s="28">
        <v>3128.95</v>
      </c>
      <c r="E36" s="28">
        <f t="shared" si="15"/>
        <v>41719.333333333336</v>
      </c>
      <c r="F36" s="104">
        <v>0.2</v>
      </c>
      <c r="G36" s="169">
        <f t="shared" si="16"/>
        <v>5.0000000000000001E-3</v>
      </c>
      <c r="H36" s="104" t="e">
        <f>(Inicial!$D$16-Inicial!$D$15)/365</f>
        <v>#VALUE!</v>
      </c>
      <c r="I36" s="28" t="e">
        <f t="shared" si="17"/>
        <v>#VALUE!</v>
      </c>
      <c r="J36" s="167" t="s">
        <v>140</v>
      </c>
    </row>
    <row r="37" spans="2:10" ht="30" customHeight="1" x14ac:dyDescent="0.25">
      <c r="B37" s="213"/>
      <c r="C37" s="180" t="s">
        <v>291</v>
      </c>
      <c r="D37" s="28">
        <v>6734.38</v>
      </c>
      <c r="E37" s="28">
        <f t="shared" si="15"/>
        <v>89791.733333333337</v>
      </c>
      <c r="F37" s="104">
        <v>0.2</v>
      </c>
      <c r="G37" s="169">
        <f t="shared" si="16"/>
        <v>5.0000000000000001E-3</v>
      </c>
      <c r="H37" s="104" t="e">
        <f>(Inicial!$D$16-Inicial!$D$15)/365</f>
        <v>#VALUE!</v>
      </c>
      <c r="I37" s="28" t="e">
        <f t="shared" si="17"/>
        <v>#VALUE!</v>
      </c>
      <c r="J37" s="177" t="s">
        <v>141</v>
      </c>
    </row>
    <row r="38" spans="2:10" ht="30" customHeight="1" x14ac:dyDescent="0.25">
      <c r="B38" s="213"/>
      <c r="C38" s="180" t="s">
        <v>292</v>
      </c>
      <c r="D38" s="28">
        <v>9267.08</v>
      </c>
      <c r="E38" s="28">
        <f t="shared" si="15"/>
        <v>123561.06666666667</v>
      </c>
      <c r="F38" s="104">
        <v>0.2</v>
      </c>
      <c r="G38" s="169">
        <f t="shared" si="16"/>
        <v>5.0000000000000001E-3</v>
      </c>
      <c r="H38" s="104" t="e">
        <f>(Inicial!$D$16-Inicial!$D$15)/365</f>
        <v>#VALUE!</v>
      </c>
      <c r="I38" s="28" t="e">
        <f t="shared" si="17"/>
        <v>#VALUE!</v>
      </c>
      <c r="J38" s="167" t="s">
        <v>142</v>
      </c>
    </row>
    <row r="39" spans="2:10" ht="30" customHeight="1" x14ac:dyDescent="0.25">
      <c r="B39" s="213"/>
      <c r="C39" s="180" t="s">
        <v>293</v>
      </c>
      <c r="D39" s="28">
        <v>8026.23</v>
      </c>
      <c r="E39" s="28">
        <f t="shared" si="15"/>
        <v>107016.39999999998</v>
      </c>
      <c r="F39" s="104">
        <v>0.2</v>
      </c>
      <c r="G39" s="169">
        <f t="shared" si="16"/>
        <v>5.0000000000000001E-3</v>
      </c>
      <c r="H39" s="104" t="e">
        <f>(Inicial!$D$16-Inicial!$D$15)/365</f>
        <v>#VALUE!</v>
      </c>
      <c r="I39" s="28" t="e">
        <f t="shared" si="17"/>
        <v>#VALUE!</v>
      </c>
      <c r="J39" s="167" t="s">
        <v>143</v>
      </c>
    </row>
    <row r="40" spans="2:10" ht="30" customHeight="1" x14ac:dyDescent="0.25">
      <c r="B40" s="213"/>
      <c r="C40" s="180" t="s">
        <v>294</v>
      </c>
      <c r="D40" s="28">
        <v>3128.95</v>
      </c>
      <c r="E40" s="28">
        <f t="shared" si="15"/>
        <v>41719.333333333336</v>
      </c>
      <c r="F40" s="104">
        <v>0.2</v>
      </c>
      <c r="G40" s="169">
        <f t="shared" si="16"/>
        <v>5.0000000000000001E-3</v>
      </c>
      <c r="H40" s="104" t="e">
        <f>(Inicial!$D$16-Inicial!$D$15)/365</f>
        <v>#VALUE!</v>
      </c>
      <c r="I40" s="28" t="e">
        <f t="shared" si="17"/>
        <v>#VALUE!</v>
      </c>
      <c r="J40" s="167" t="s">
        <v>144</v>
      </c>
    </row>
    <row r="41" spans="2:10" ht="30" customHeight="1" x14ac:dyDescent="0.25">
      <c r="B41" s="213"/>
      <c r="C41" s="180" t="s">
        <v>295</v>
      </c>
      <c r="D41" s="28">
        <v>12532.4</v>
      </c>
      <c r="E41" s="28">
        <f t="shared" si="15"/>
        <v>167098.66666666666</v>
      </c>
      <c r="F41" s="104">
        <v>0.2</v>
      </c>
      <c r="G41" s="169">
        <f t="shared" si="16"/>
        <v>5.0000000000000001E-3</v>
      </c>
      <c r="H41" s="104" t="e">
        <f>(Inicial!$D$16-Inicial!$D$15)/365</f>
        <v>#VALUE!</v>
      </c>
      <c r="I41" s="28" t="e">
        <f t="shared" si="17"/>
        <v>#VALUE!</v>
      </c>
      <c r="J41" s="167" t="s">
        <v>145</v>
      </c>
    </row>
    <row r="42" spans="2:10" ht="30" customHeight="1" x14ac:dyDescent="0.25">
      <c r="B42" s="213"/>
      <c r="C42" s="180" t="s">
        <v>296</v>
      </c>
      <c r="D42" s="28">
        <v>12665.15</v>
      </c>
      <c r="E42" s="28">
        <f t="shared" si="15"/>
        <v>168868.66666666666</v>
      </c>
      <c r="F42" s="104">
        <v>0.2</v>
      </c>
      <c r="G42" s="169">
        <f t="shared" si="16"/>
        <v>5.0000000000000001E-3</v>
      </c>
      <c r="H42" s="104" t="e">
        <f>(Inicial!$D$16-Inicial!$D$15)/365</f>
        <v>#VALUE!</v>
      </c>
      <c r="I42" s="28" t="e">
        <f t="shared" si="17"/>
        <v>#VALUE!</v>
      </c>
      <c r="J42" s="167" t="s">
        <v>146</v>
      </c>
    </row>
    <row r="43" spans="2:10" ht="30" customHeight="1" x14ac:dyDescent="0.25">
      <c r="B43" s="213"/>
      <c r="C43" s="180" t="s">
        <v>297</v>
      </c>
      <c r="D43" s="28">
        <v>4428.01</v>
      </c>
      <c r="E43" s="28">
        <f t="shared" si="15"/>
        <v>59040.133333333339</v>
      </c>
      <c r="F43" s="104">
        <v>0.2</v>
      </c>
      <c r="G43" s="169">
        <f t="shared" si="16"/>
        <v>5.0000000000000001E-3</v>
      </c>
      <c r="H43" s="104" t="e">
        <f>(Inicial!$D$16-Inicial!$D$15)/365</f>
        <v>#VALUE!</v>
      </c>
      <c r="I43" s="28" t="e">
        <f t="shared" si="17"/>
        <v>#VALUE!</v>
      </c>
      <c r="J43" s="167" t="s">
        <v>147</v>
      </c>
    </row>
    <row r="44" spans="2:10" ht="30" customHeight="1" x14ac:dyDescent="0.25">
      <c r="B44" s="213"/>
      <c r="C44" s="180" t="s">
        <v>299</v>
      </c>
      <c r="D44" s="28">
        <v>15006.96</v>
      </c>
      <c r="E44" s="28">
        <f t="shared" si="15"/>
        <v>200092.79999999996</v>
      </c>
      <c r="F44" s="104">
        <v>0.2</v>
      </c>
      <c r="G44" s="169">
        <f t="shared" si="16"/>
        <v>5.0000000000000001E-3</v>
      </c>
      <c r="H44" s="104" t="e">
        <f>(Inicial!$D$16-Inicial!$D$15)/365</f>
        <v>#VALUE!</v>
      </c>
      <c r="I44" s="28" t="e">
        <f t="shared" si="17"/>
        <v>#VALUE!</v>
      </c>
      <c r="J44" s="167" t="s">
        <v>110</v>
      </c>
    </row>
    <row r="45" spans="2:10" ht="30" customHeight="1" x14ac:dyDescent="0.25">
      <c r="B45" s="213"/>
      <c r="C45" s="180" t="s">
        <v>298</v>
      </c>
      <c r="D45" s="28">
        <v>10710.7</v>
      </c>
      <c r="E45" s="28">
        <f t="shared" si="15"/>
        <v>142809.33333333334</v>
      </c>
      <c r="F45" s="104">
        <v>0.2</v>
      </c>
      <c r="G45" s="169">
        <f t="shared" si="16"/>
        <v>5.0000000000000001E-3</v>
      </c>
      <c r="H45" s="104" t="e">
        <f>(Inicial!$D$16-Inicial!$D$15)/365</f>
        <v>#VALUE!</v>
      </c>
      <c r="I45" s="28" t="e">
        <f t="shared" si="17"/>
        <v>#VALUE!</v>
      </c>
      <c r="J45" s="167" t="s">
        <v>148</v>
      </c>
    </row>
    <row r="46" spans="2:10" ht="30" customHeight="1" x14ac:dyDescent="0.25">
      <c r="B46" s="213"/>
      <c r="C46" s="180" t="s">
        <v>300</v>
      </c>
      <c r="D46" s="28">
        <v>3128.95</v>
      </c>
      <c r="E46" s="28">
        <f t="shared" si="15"/>
        <v>41719.333333333336</v>
      </c>
      <c r="F46" s="104">
        <v>0.2</v>
      </c>
      <c r="G46" s="169">
        <f t="shared" si="16"/>
        <v>5.0000000000000001E-3</v>
      </c>
      <c r="H46" s="104" t="e">
        <f>(Inicial!$D$16-Inicial!$D$15)/365</f>
        <v>#VALUE!</v>
      </c>
      <c r="I46" s="28" t="e">
        <f t="shared" si="17"/>
        <v>#VALUE!</v>
      </c>
      <c r="J46" s="167" t="s">
        <v>149</v>
      </c>
    </row>
    <row r="47" spans="2:10" ht="30" customHeight="1" x14ac:dyDescent="0.25">
      <c r="B47" s="213" t="s">
        <v>208</v>
      </c>
      <c r="C47" s="180" t="s">
        <v>301</v>
      </c>
      <c r="D47" s="28">
        <v>16443</v>
      </c>
      <c r="E47" s="28">
        <f t="shared" si="15"/>
        <v>219240</v>
      </c>
      <c r="F47" s="104">
        <v>0.2</v>
      </c>
      <c r="G47" s="169">
        <f t="shared" ref="G47:G53" si="18">F47/40</f>
        <v>5.0000000000000001E-3</v>
      </c>
      <c r="H47" s="104" t="e">
        <f>(Inicial!$D$16-Inicial!$D$15)/365</f>
        <v>#VALUE!</v>
      </c>
      <c r="I47" s="28" t="e">
        <f t="shared" ref="I47:I53" si="19">E47*G47*H47</f>
        <v>#VALUE!</v>
      </c>
      <c r="J47" s="167" t="s">
        <v>153</v>
      </c>
    </row>
    <row r="48" spans="2:10" ht="30" customHeight="1" x14ac:dyDescent="0.25">
      <c r="B48" s="213"/>
      <c r="C48" s="180" t="s">
        <v>302</v>
      </c>
      <c r="D48" s="28">
        <v>2979.81</v>
      </c>
      <c r="E48" s="28">
        <f t="shared" si="15"/>
        <v>39730.799999999996</v>
      </c>
      <c r="F48" s="104">
        <v>0.2</v>
      </c>
      <c r="G48" s="169">
        <f t="shared" si="18"/>
        <v>5.0000000000000001E-3</v>
      </c>
      <c r="H48" s="104" t="e">
        <f>(Inicial!$D$16-Inicial!$D$15)/365</f>
        <v>#VALUE!</v>
      </c>
      <c r="I48" s="28" t="e">
        <f t="shared" si="19"/>
        <v>#VALUE!</v>
      </c>
      <c r="J48" s="167" t="s">
        <v>155</v>
      </c>
    </row>
    <row r="49" spans="2:10" ht="30" customHeight="1" x14ac:dyDescent="0.25">
      <c r="B49" s="213"/>
      <c r="C49" s="180" t="s">
        <v>303</v>
      </c>
      <c r="D49" s="28">
        <v>9566.64</v>
      </c>
      <c r="E49" s="28">
        <f t="shared" si="15"/>
        <v>127555.2</v>
      </c>
      <c r="F49" s="104">
        <v>0.2</v>
      </c>
      <c r="G49" s="169">
        <f t="shared" si="18"/>
        <v>5.0000000000000001E-3</v>
      </c>
      <c r="H49" s="104" t="e">
        <f>(Inicial!$D$16-Inicial!$D$15)/365</f>
        <v>#VALUE!</v>
      </c>
      <c r="I49" s="28" t="e">
        <f t="shared" si="19"/>
        <v>#VALUE!</v>
      </c>
      <c r="J49" s="167" t="s">
        <v>169</v>
      </c>
    </row>
    <row r="50" spans="2:10" ht="30" customHeight="1" x14ac:dyDescent="0.25">
      <c r="B50" s="213"/>
      <c r="C50" s="180" t="s">
        <v>304</v>
      </c>
      <c r="D50" s="28">
        <v>6734.38</v>
      </c>
      <c r="E50" s="28">
        <f t="shared" si="15"/>
        <v>89791.733333333337</v>
      </c>
      <c r="F50" s="104">
        <v>0.2</v>
      </c>
      <c r="G50" s="169">
        <f t="shared" si="18"/>
        <v>5.0000000000000001E-3</v>
      </c>
      <c r="H50" s="104" t="e">
        <f>(Inicial!$D$16-Inicial!$D$15)/365</f>
        <v>#VALUE!</v>
      </c>
      <c r="I50" s="28" t="e">
        <f t="shared" si="19"/>
        <v>#VALUE!</v>
      </c>
      <c r="J50" s="167" t="s">
        <v>154</v>
      </c>
    </row>
    <row r="51" spans="2:10" ht="30" customHeight="1" x14ac:dyDescent="0.25">
      <c r="B51" s="213"/>
      <c r="C51" s="180" t="s">
        <v>305</v>
      </c>
      <c r="D51" s="160">
        <v>2979.81</v>
      </c>
      <c r="E51" s="28">
        <f t="shared" si="15"/>
        <v>39730.799999999996</v>
      </c>
      <c r="F51" s="104">
        <v>0.2</v>
      </c>
      <c r="G51" s="169">
        <f t="shared" si="18"/>
        <v>5.0000000000000001E-3</v>
      </c>
      <c r="H51" s="104" t="e">
        <f>(Inicial!$D$16-Inicial!$D$15)/365</f>
        <v>#VALUE!</v>
      </c>
      <c r="I51" s="28" t="e">
        <f t="shared" si="19"/>
        <v>#VALUE!</v>
      </c>
      <c r="J51" s="167" t="s">
        <v>156</v>
      </c>
    </row>
    <row r="52" spans="2:10" ht="30" customHeight="1" x14ac:dyDescent="0.25">
      <c r="B52" s="213"/>
      <c r="C52" s="180" t="s">
        <v>306</v>
      </c>
      <c r="D52" s="28">
        <v>2303.15</v>
      </c>
      <c r="E52" s="28">
        <f t="shared" si="15"/>
        <v>30708.666666666668</v>
      </c>
      <c r="F52" s="104">
        <v>0.2</v>
      </c>
      <c r="G52" s="169">
        <f t="shared" si="18"/>
        <v>5.0000000000000001E-3</v>
      </c>
      <c r="H52" s="104" t="e">
        <f>(Inicial!$D$16-Inicial!$D$15)/365</f>
        <v>#VALUE!</v>
      </c>
      <c r="I52" s="28" t="e">
        <f t="shared" si="19"/>
        <v>#VALUE!</v>
      </c>
      <c r="J52" s="167" t="s">
        <v>157</v>
      </c>
    </row>
    <row r="53" spans="2:10" ht="30" customHeight="1" x14ac:dyDescent="0.25">
      <c r="B53" s="213"/>
      <c r="C53" s="180" t="s">
        <v>307</v>
      </c>
      <c r="D53" s="28">
        <v>1571.35</v>
      </c>
      <c r="E53" s="28">
        <f t="shared" si="15"/>
        <v>20951.333333333332</v>
      </c>
      <c r="F53" s="104">
        <v>0.2</v>
      </c>
      <c r="G53" s="169">
        <f t="shared" si="18"/>
        <v>5.0000000000000001E-3</v>
      </c>
      <c r="H53" s="104" t="e">
        <f>(Inicial!$D$16-Inicial!$D$15)/365</f>
        <v>#VALUE!</v>
      </c>
      <c r="I53" s="28" t="e">
        <f t="shared" si="19"/>
        <v>#VALUE!</v>
      </c>
      <c r="J53" s="167" t="s">
        <v>158</v>
      </c>
    </row>
    <row r="54" spans="2:10" ht="30" customHeight="1" x14ac:dyDescent="0.25">
      <c r="B54" s="213"/>
      <c r="C54" s="180" t="s">
        <v>308</v>
      </c>
      <c r="D54" s="28">
        <v>17904.599999999999</v>
      </c>
      <c r="E54" s="28">
        <f t="shared" ref="E54:E63" si="20">D54*40/3</f>
        <v>238728</v>
      </c>
      <c r="F54" s="104">
        <v>0.2</v>
      </c>
      <c r="G54" s="169">
        <f t="shared" ref="G54:G63" si="21">F54/40</f>
        <v>5.0000000000000001E-3</v>
      </c>
      <c r="H54" s="104" t="e">
        <f>(Inicial!$D$16-Inicial!$D$15)/365</f>
        <v>#VALUE!</v>
      </c>
      <c r="I54" s="28" t="e">
        <f t="shared" ref="I54:I63" si="22">E54*G54*H54</f>
        <v>#VALUE!</v>
      </c>
      <c r="J54" s="167" t="s">
        <v>159</v>
      </c>
    </row>
    <row r="55" spans="2:10" ht="30" customHeight="1" x14ac:dyDescent="0.25">
      <c r="B55" s="213"/>
      <c r="C55" s="180" t="s">
        <v>309</v>
      </c>
      <c r="D55" s="160">
        <v>11872.8</v>
      </c>
      <c r="E55" s="28">
        <f t="shared" si="20"/>
        <v>158304</v>
      </c>
      <c r="F55" s="104">
        <v>0.2</v>
      </c>
      <c r="G55" s="169">
        <f t="shared" si="21"/>
        <v>5.0000000000000001E-3</v>
      </c>
      <c r="H55" s="104" t="e">
        <f>(Inicial!$D$16-Inicial!$D$15)/365</f>
        <v>#VALUE!</v>
      </c>
      <c r="I55" s="28" t="e">
        <f t="shared" si="22"/>
        <v>#VALUE!</v>
      </c>
      <c r="J55" s="167" t="s">
        <v>160</v>
      </c>
    </row>
    <row r="56" spans="2:10" ht="30" customHeight="1" x14ac:dyDescent="0.25">
      <c r="B56" s="213"/>
      <c r="C56" s="180" t="s">
        <v>310</v>
      </c>
      <c r="D56" s="28">
        <v>11872.8</v>
      </c>
      <c r="E56" s="28">
        <f t="shared" si="20"/>
        <v>158304</v>
      </c>
      <c r="F56" s="104">
        <v>0.2</v>
      </c>
      <c r="G56" s="169">
        <f t="shared" si="21"/>
        <v>5.0000000000000001E-3</v>
      </c>
      <c r="H56" s="104" t="e">
        <f>(Inicial!$D$16-Inicial!$D$15)/365</f>
        <v>#VALUE!</v>
      </c>
      <c r="I56" s="28" t="e">
        <f t="shared" si="22"/>
        <v>#VALUE!</v>
      </c>
      <c r="J56" s="167" t="s">
        <v>161</v>
      </c>
    </row>
    <row r="57" spans="2:10" ht="30" customHeight="1" x14ac:dyDescent="0.25">
      <c r="B57" s="213"/>
      <c r="C57" s="180" t="s">
        <v>311</v>
      </c>
      <c r="D57" s="28">
        <v>12058.9</v>
      </c>
      <c r="E57" s="28">
        <f t="shared" si="20"/>
        <v>160785.33333333334</v>
      </c>
      <c r="F57" s="104">
        <v>0.2</v>
      </c>
      <c r="G57" s="169">
        <f t="shared" si="21"/>
        <v>5.0000000000000001E-3</v>
      </c>
      <c r="H57" s="104" t="e">
        <f>(Inicial!$D$16-Inicial!$D$15)/365</f>
        <v>#VALUE!</v>
      </c>
      <c r="I57" s="28" t="e">
        <f t="shared" si="22"/>
        <v>#VALUE!</v>
      </c>
      <c r="J57" s="167" t="s">
        <v>162</v>
      </c>
    </row>
    <row r="58" spans="2:10" ht="30" customHeight="1" x14ac:dyDescent="0.25">
      <c r="B58" s="213"/>
      <c r="C58" s="180" t="s">
        <v>312</v>
      </c>
      <c r="D58" s="28">
        <v>9561.9500000000007</v>
      </c>
      <c r="E58" s="28">
        <f t="shared" si="20"/>
        <v>127492.66666666667</v>
      </c>
      <c r="F58" s="104">
        <v>0.2</v>
      </c>
      <c r="G58" s="169">
        <f t="shared" si="21"/>
        <v>5.0000000000000001E-3</v>
      </c>
      <c r="H58" s="104" t="e">
        <f>(Inicial!$D$16-Inicial!$D$15)/365</f>
        <v>#VALUE!</v>
      </c>
      <c r="I58" s="28" t="e">
        <f t="shared" si="22"/>
        <v>#VALUE!</v>
      </c>
      <c r="J58" s="167" t="s">
        <v>163</v>
      </c>
    </row>
    <row r="59" spans="2:10" ht="30" customHeight="1" x14ac:dyDescent="0.25">
      <c r="B59" s="213"/>
      <c r="C59" s="180" t="s">
        <v>313</v>
      </c>
      <c r="D59" s="28">
        <v>10795.75</v>
      </c>
      <c r="E59" s="28">
        <f t="shared" si="20"/>
        <v>143943.33333333334</v>
      </c>
      <c r="F59" s="104">
        <v>0.2</v>
      </c>
      <c r="G59" s="169">
        <f t="shared" si="21"/>
        <v>5.0000000000000001E-3</v>
      </c>
      <c r="H59" s="104" t="e">
        <f>(Inicial!$D$16-Inicial!$D$15)/365</f>
        <v>#VALUE!</v>
      </c>
      <c r="I59" s="28" t="e">
        <f t="shared" si="22"/>
        <v>#VALUE!</v>
      </c>
      <c r="J59" s="167" t="s">
        <v>164</v>
      </c>
    </row>
    <row r="60" spans="2:10" ht="30" customHeight="1" x14ac:dyDescent="0.25">
      <c r="B60" s="213"/>
      <c r="C60" s="180" t="s">
        <v>314</v>
      </c>
      <c r="D60" s="28">
        <v>7011.9</v>
      </c>
      <c r="E60" s="28">
        <f t="shared" si="20"/>
        <v>93492</v>
      </c>
      <c r="F60" s="104">
        <v>0.2</v>
      </c>
      <c r="G60" s="169">
        <f t="shared" si="21"/>
        <v>5.0000000000000001E-3</v>
      </c>
      <c r="H60" s="104" t="e">
        <f>(Inicial!$D$16-Inicial!$D$15)/365</f>
        <v>#VALUE!</v>
      </c>
      <c r="I60" s="28" t="e">
        <f t="shared" si="22"/>
        <v>#VALUE!</v>
      </c>
      <c r="J60" s="167" t="s">
        <v>165</v>
      </c>
    </row>
    <row r="61" spans="2:10" ht="30" customHeight="1" x14ac:dyDescent="0.25">
      <c r="B61" s="213"/>
      <c r="C61" s="180" t="s">
        <v>315</v>
      </c>
      <c r="D61" s="28">
        <v>7011.9</v>
      </c>
      <c r="E61" s="28">
        <f t="shared" si="20"/>
        <v>93492</v>
      </c>
      <c r="F61" s="104">
        <v>0.2</v>
      </c>
      <c r="G61" s="169">
        <f t="shared" si="21"/>
        <v>5.0000000000000001E-3</v>
      </c>
      <c r="H61" s="104" t="e">
        <f>(Inicial!$D$16-Inicial!$D$15)/365</f>
        <v>#VALUE!</v>
      </c>
      <c r="I61" s="28" t="e">
        <f t="shared" si="22"/>
        <v>#VALUE!</v>
      </c>
      <c r="J61" s="167" t="s">
        <v>166</v>
      </c>
    </row>
    <row r="62" spans="2:10" ht="30" customHeight="1" x14ac:dyDescent="0.25">
      <c r="B62" s="213"/>
      <c r="C62" s="180" t="s">
        <v>316</v>
      </c>
      <c r="D62" s="28">
        <v>2638.62</v>
      </c>
      <c r="E62" s="28">
        <f t="shared" si="20"/>
        <v>35181.599999999999</v>
      </c>
      <c r="F62" s="104">
        <v>0.2</v>
      </c>
      <c r="G62" s="169">
        <f t="shared" si="21"/>
        <v>5.0000000000000001E-3</v>
      </c>
      <c r="H62" s="104" t="e">
        <f>(Inicial!$D$16-Inicial!$D$15)/365</f>
        <v>#VALUE!</v>
      </c>
      <c r="I62" s="28" t="e">
        <f t="shared" si="22"/>
        <v>#VALUE!</v>
      </c>
      <c r="J62" s="167" t="s">
        <v>167</v>
      </c>
    </row>
    <row r="63" spans="2:10" ht="30" customHeight="1" x14ac:dyDescent="0.25">
      <c r="B63" s="213"/>
      <c r="C63" s="180" t="s">
        <v>317</v>
      </c>
      <c r="D63" s="28">
        <v>2294.5</v>
      </c>
      <c r="E63" s="28">
        <f t="shared" si="20"/>
        <v>30593.333333333332</v>
      </c>
      <c r="F63" s="104">
        <v>0.2</v>
      </c>
      <c r="G63" s="169">
        <f t="shared" si="21"/>
        <v>5.0000000000000001E-3</v>
      </c>
      <c r="H63" s="104" t="e">
        <f>(Inicial!$D$16-Inicial!$D$15)/365</f>
        <v>#VALUE!</v>
      </c>
      <c r="I63" s="28" t="e">
        <f t="shared" si="22"/>
        <v>#VALUE!</v>
      </c>
      <c r="J63" s="167" t="s">
        <v>168</v>
      </c>
    </row>
    <row r="64" spans="2:10" ht="30" customHeight="1" thickBot="1" x14ac:dyDescent="0.3">
      <c r="B64" s="202" t="s">
        <v>4</v>
      </c>
      <c r="C64" s="204"/>
      <c r="D64" s="204"/>
      <c r="E64" s="204"/>
      <c r="F64" s="204"/>
      <c r="G64" s="204"/>
      <c r="H64" s="204"/>
      <c r="I64" s="165" t="e">
        <f>SUM(I5:I63)</f>
        <v>#VALUE!</v>
      </c>
      <c r="J64" s="178"/>
    </row>
    <row r="65" spans="3:3" ht="18" customHeight="1" x14ac:dyDescent="0.25"/>
    <row r="66" spans="3:3" x14ac:dyDescent="0.25">
      <c r="C66" t="s">
        <v>78</v>
      </c>
    </row>
    <row r="67" spans="3:3" x14ac:dyDescent="0.25">
      <c r="C67" t="s">
        <v>170</v>
      </c>
    </row>
  </sheetData>
  <mergeCells count="8">
    <mergeCell ref="B2:J2"/>
    <mergeCell ref="B64:H64"/>
    <mergeCell ref="B5:B6"/>
    <mergeCell ref="B28:B34"/>
    <mergeCell ref="B8:B21"/>
    <mergeCell ref="B35:B46"/>
    <mergeCell ref="B22:B27"/>
    <mergeCell ref="B47:B63"/>
  </mergeCells>
  <hyperlinks>
    <hyperlink ref="J50" r:id="rId1"/>
    <hyperlink ref="J6" r:id="rId2"/>
  </hyperlinks>
  <pageMargins left="0.23622047244094491" right="0.23622047244094491" top="0.74803149606299213" bottom="0.74803149606299213" header="0.31496062992125984" footer="0.31496062992125984"/>
  <pageSetup paperSize="9" scale="54" fitToHeight="0" orientation="landscape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25"/>
  <sheetViews>
    <sheetView showGridLines="0" zoomScale="85" zoomScaleNormal="85" workbookViewId="0">
      <selection activeCell="H10" sqref="H10"/>
    </sheetView>
  </sheetViews>
  <sheetFormatPr defaultColWidth="8.85546875" defaultRowHeight="15" x14ac:dyDescent="0.25"/>
  <cols>
    <col min="1" max="1" width="3.140625" customWidth="1"/>
    <col min="2" max="2" width="67.140625" customWidth="1"/>
    <col min="3" max="3" width="23.140625" style="106" customWidth="1"/>
    <col min="4" max="4" width="16.85546875" customWidth="1"/>
    <col min="5" max="5" width="12.5703125" customWidth="1"/>
    <col min="6" max="6" width="17.140625" customWidth="1"/>
    <col min="7" max="7" width="11.85546875" customWidth="1"/>
    <col min="8" max="8" width="17.42578125" customWidth="1"/>
    <col min="9" max="9" width="19" customWidth="1"/>
    <col min="10" max="10" width="16.85546875" customWidth="1"/>
    <col min="11" max="12" width="14.42578125" customWidth="1"/>
    <col min="13" max="13" width="19.5703125" customWidth="1"/>
  </cols>
  <sheetData>
    <row r="1" spans="2:13" ht="15.75" thickBot="1" x14ac:dyDescent="0.3"/>
    <row r="2" spans="2:13" ht="75" customHeight="1" x14ac:dyDescent="0.25">
      <c r="B2" s="205" t="s">
        <v>72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14"/>
    </row>
    <row r="3" spans="2:13" ht="42.6" customHeight="1" x14ac:dyDescent="0.25">
      <c r="B3" s="140"/>
      <c r="C3" s="113"/>
      <c r="D3" s="7" t="s">
        <v>6</v>
      </c>
      <c r="E3" s="7" t="s">
        <v>7</v>
      </c>
      <c r="F3" s="7" t="s">
        <v>8</v>
      </c>
      <c r="G3" s="7" t="s">
        <v>14</v>
      </c>
      <c r="H3" s="7" t="s">
        <v>61</v>
      </c>
      <c r="I3" s="7" t="s">
        <v>68</v>
      </c>
      <c r="J3" s="7" t="s">
        <v>70</v>
      </c>
      <c r="K3" s="42" t="s">
        <v>196</v>
      </c>
      <c r="L3" s="42" t="s">
        <v>197</v>
      </c>
      <c r="M3" s="141" t="s">
        <v>198</v>
      </c>
    </row>
    <row r="4" spans="2:13" ht="90.6" customHeight="1" x14ac:dyDescent="0.25">
      <c r="B4" s="142" t="s">
        <v>64</v>
      </c>
      <c r="C4" s="143" t="s">
        <v>195</v>
      </c>
      <c r="D4" s="143" t="s">
        <v>194</v>
      </c>
      <c r="E4" s="143" t="s">
        <v>190</v>
      </c>
      <c r="F4" s="143" t="s">
        <v>63</v>
      </c>
      <c r="G4" s="143" t="s">
        <v>247</v>
      </c>
      <c r="H4" s="143" t="s">
        <v>199</v>
      </c>
      <c r="I4" s="143" t="s">
        <v>223</v>
      </c>
      <c r="J4" s="143" t="s">
        <v>69</v>
      </c>
      <c r="K4" s="144" t="s">
        <v>71</v>
      </c>
      <c r="L4" s="144" t="s">
        <v>200</v>
      </c>
      <c r="M4" s="145" t="s">
        <v>191</v>
      </c>
    </row>
    <row r="5" spans="2:13" s="146" customFormat="1" ht="12.75" x14ac:dyDescent="0.2">
      <c r="B5" s="151" t="s">
        <v>248</v>
      </c>
      <c r="C5" s="150">
        <v>2352</v>
      </c>
      <c r="D5" s="117">
        <v>43752</v>
      </c>
      <c r="E5" s="117">
        <f>D5+365*10</f>
        <v>47402</v>
      </c>
      <c r="F5" s="119">
        <v>49990</v>
      </c>
      <c r="G5" s="153">
        <v>1.6071374</v>
      </c>
      <c r="H5" s="147">
        <f>F5*G5</f>
        <v>80340.798626000003</v>
      </c>
      <c r="I5" s="148">
        <v>0.1</v>
      </c>
      <c r="J5" s="147">
        <f>H5*I5</f>
        <v>8034.0798626000005</v>
      </c>
      <c r="K5" s="152" t="e">
        <f>(Inicial!$D$16-Inicial!$D$15)/365</f>
        <v>#VALUE!</v>
      </c>
      <c r="L5" s="152">
        <v>1</v>
      </c>
      <c r="M5" s="149" t="e">
        <f>J5*K5*L5/8</f>
        <v>#VALUE!</v>
      </c>
    </row>
    <row r="6" spans="2:13" s="146" customFormat="1" ht="12.75" x14ac:dyDescent="0.2">
      <c r="B6" s="151" t="s">
        <v>249</v>
      </c>
      <c r="C6" s="150">
        <v>327</v>
      </c>
      <c r="D6" s="117">
        <v>42138</v>
      </c>
      <c r="E6" s="117">
        <f>D6+365*10</f>
        <v>45788</v>
      </c>
      <c r="F6" s="119">
        <v>177948.32</v>
      </c>
      <c r="G6" s="153">
        <v>1.6071374</v>
      </c>
      <c r="H6" s="147">
        <f t="shared" ref="H6:H10" si="0">F6*G6</f>
        <v>285987.40033916803</v>
      </c>
      <c r="I6" s="148">
        <v>0.1</v>
      </c>
      <c r="J6" s="147">
        <f t="shared" ref="J6:J7" si="1">H6*I6</f>
        <v>28598.740033916805</v>
      </c>
      <c r="K6" s="152" t="e">
        <f>(Inicial!$D$16-Inicial!$D$15)/365</f>
        <v>#VALUE!</v>
      </c>
      <c r="L6" s="152">
        <v>1</v>
      </c>
      <c r="M6" s="149" t="e">
        <f t="shared" ref="M6:M9" si="2">J6*K6*L6/8</f>
        <v>#VALUE!</v>
      </c>
    </row>
    <row r="7" spans="2:13" s="146" customFormat="1" ht="12.75" x14ac:dyDescent="0.2">
      <c r="B7" s="151" t="s">
        <v>181</v>
      </c>
      <c r="C7" s="150" t="s">
        <v>192</v>
      </c>
      <c r="D7" s="117">
        <v>42544</v>
      </c>
      <c r="E7" s="117">
        <f t="shared" ref="E7" si="3">D7+365*10</f>
        <v>46194</v>
      </c>
      <c r="F7" s="119">
        <v>368529.73</v>
      </c>
      <c r="G7" s="153">
        <v>1.6590773000000001</v>
      </c>
      <c r="H7" s="147">
        <f t="shared" si="0"/>
        <v>611419.30941812904</v>
      </c>
      <c r="I7" s="148">
        <v>0.1</v>
      </c>
      <c r="J7" s="147">
        <f t="shared" si="1"/>
        <v>61141.930941812905</v>
      </c>
      <c r="K7" s="152" t="e">
        <f>(Inicial!$D$16-Inicial!$D$15)/365</f>
        <v>#VALUE!</v>
      </c>
      <c r="L7" s="152">
        <v>0.5</v>
      </c>
      <c r="M7" s="149" t="e">
        <f t="shared" si="2"/>
        <v>#VALUE!</v>
      </c>
    </row>
    <row r="8" spans="2:13" s="146" customFormat="1" ht="12.75" x14ac:dyDescent="0.2">
      <c r="B8" s="151" t="s">
        <v>180</v>
      </c>
      <c r="C8" s="150">
        <v>156</v>
      </c>
      <c r="D8" s="117">
        <v>42951</v>
      </c>
      <c r="E8" s="117">
        <f>D8+365*5</f>
        <v>44776</v>
      </c>
      <c r="F8" s="119">
        <v>12817.68</v>
      </c>
      <c r="G8" s="153">
        <v>1.6628004999999999</v>
      </c>
      <c r="H8" s="147">
        <f t="shared" si="0"/>
        <v>21313.244712839998</v>
      </c>
      <c r="I8" s="148">
        <v>0.2</v>
      </c>
      <c r="J8" s="147">
        <v>0</v>
      </c>
      <c r="K8" s="152" t="e">
        <f>(Inicial!$D$16-Inicial!$D$15)/365</f>
        <v>#VALUE!</v>
      </c>
      <c r="L8" s="152">
        <v>8</v>
      </c>
      <c r="M8" s="149" t="e">
        <f t="shared" si="2"/>
        <v>#VALUE!</v>
      </c>
    </row>
    <row r="9" spans="2:13" s="146" customFormat="1" ht="12.75" x14ac:dyDescent="0.2">
      <c r="B9" s="151" t="s">
        <v>179</v>
      </c>
      <c r="C9" s="150">
        <v>52268</v>
      </c>
      <c r="D9" s="117">
        <v>42978</v>
      </c>
      <c r="E9" s="117">
        <f>D9+365*5</f>
        <v>44803</v>
      </c>
      <c r="F9" s="119">
        <v>2712.74</v>
      </c>
      <c r="G9" s="153">
        <v>1.6628004999999999</v>
      </c>
      <c r="H9" s="147">
        <f t="shared" si="0"/>
        <v>4510.745428369999</v>
      </c>
      <c r="I9" s="148">
        <v>0.2</v>
      </c>
      <c r="J9" s="147">
        <v>0</v>
      </c>
      <c r="K9" s="152" t="e">
        <f>(Inicial!$D$16-Inicial!$D$15)/365</f>
        <v>#VALUE!</v>
      </c>
      <c r="L9" s="152">
        <v>8</v>
      </c>
      <c r="M9" s="149" t="e">
        <f t="shared" si="2"/>
        <v>#VALUE!</v>
      </c>
    </row>
    <row r="10" spans="2:13" s="146" customFormat="1" ht="12.75" x14ac:dyDescent="0.2">
      <c r="B10" s="151" t="s">
        <v>252</v>
      </c>
      <c r="C10" s="150"/>
      <c r="D10" s="117">
        <v>41477</v>
      </c>
      <c r="E10" s="117">
        <f>D10+365*10</f>
        <v>45127</v>
      </c>
      <c r="F10" s="119">
        <v>295000</v>
      </c>
      <c r="G10" s="153">
        <v>1.66</v>
      </c>
      <c r="H10" s="147">
        <f t="shared" si="0"/>
        <v>489700</v>
      </c>
      <c r="I10" s="148">
        <v>0.1</v>
      </c>
      <c r="J10" s="147">
        <f>H10*I10</f>
        <v>48970</v>
      </c>
      <c r="K10" s="152" t="e">
        <f>(Inicial!$D$16-Inicial!$D$15)/365</f>
        <v>#VALUE!</v>
      </c>
      <c r="L10" s="152">
        <v>0.1</v>
      </c>
      <c r="M10" s="149">
        <v>0</v>
      </c>
    </row>
    <row r="11" spans="2:13" s="146" customFormat="1" ht="12.75" x14ac:dyDescent="0.2">
      <c r="B11" s="151"/>
      <c r="C11" s="150"/>
      <c r="D11" s="117"/>
      <c r="E11" s="117"/>
      <c r="F11" s="119"/>
      <c r="G11" s="153"/>
      <c r="H11" s="147"/>
      <c r="I11" s="148"/>
      <c r="J11" s="147"/>
      <c r="K11" s="152"/>
      <c r="L11" s="152"/>
      <c r="M11" s="149"/>
    </row>
    <row r="12" spans="2:13" s="146" customFormat="1" ht="12.75" x14ac:dyDescent="0.2">
      <c r="B12" s="151"/>
      <c r="C12" s="150"/>
      <c r="D12" s="117"/>
      <c r="E12" s="117"/>
      <c r="F12" s="119"/>
      <c r="G12" s="153"/>
      <c r="H12" s="147"/>
      <c r="I12" s="148"/>
      <c r="J12" s="147"/>
      <c r="K12" s="152"/>
      <c r="L12" s="152"/>
      <c r="M12" s="149"/>
    </row>
    <row r="13" spans="2:13" s="146" customFormat="1" ht="12.75" x14ac:dyDescent="0.2">
      <c r="B13" s="151"/>
      <c r="C13" s="150"/>
      <c r="D13" s="117"/>
      <c r="E13" s="117"/>
      <c r="F13" s="119"/>
      <c r="G13" s="153"/>
      <c r="H13" s="147"/>
      <c r="I13" s="148"/>
      <c r="J13" s="147"/>
      <c r="K13" s="152"/>
      <c r="L13" s="152"/>
      <c r="M13" s="149"/>
    </row>
    <row r="14" spans="2:13" s="146" customFormat="1" ht="12.75" x14ac:dyDescent="0.2">
      <c r="B14" s="151"/>
      <c r="C14" s="150"/>
      <c r="D14" s="117"/>
      <c r="E14" s="117"/>
      <c r="F14" s="119"/>
      <c r="G14" s="153"/>
      <c r="H14" s="147"/>
      <c r="I14" s="148"/>
      <c r="J14" s="147"/>
      <c r="K14" s="152"/>
      <c r="L14" s="152"/>
      <c r="M14" s="149"/>
    </row>
    <row r="15" spans="2:13" s="146" customFormat="1" ht="12.75" x14ac:dyDescent="0.2">
      <c r="B15" s="151"/>
      <c r="C15" s="150"/>
      <c r="D15" s="117"/>
      <c r="E15" s="117"/>
      <c r="F15" s="119"/>
      <c r="G15" s="153"/>
      <c r="H15" s="147"/>
      <c r="I15" s="148"/>
      <c r="J15" s="147"/>
      <c r="K15" s="152"/>
      <c r="L15" s="152"/>
      <c r="M15" s="149"/>
    </row>
    <row r="16" spans="2:13" s="146" customFormat="1" ht="12.75" x14ac:dyDescent="0.2">
      <c r="B16" s="151"/>
      <c r="C16" s="150"/>
      <c r="D16" s="117"/>
      <c r="E16" s="117"/>
      <c r="F16" s="119"/>
      <c r="G16" s="153"/>
      <c r="H16" s="147"/>
      <c r="I16" s="148"/>
      <c r="J16" s="147"/>
      <c r="K16" s="152"/>
      <c r="L16" s="152"/>
      <c r="M16" s="149"/>
    </row>
    <row r="17" spans="2:13" s="146" customFormat="1" ht="12.75" x14ac:dyDescent="0.2">
      <c r="B17" s="151"/>
      <c r="C17" s="150"/>
      <c r="D17" s="117"/>
      <c r="E17" s="117"/>
      <c r="F17" s="119"/>
      <c r="G17" s="153"/>
      <c r="H17" s="147"/>
      <c r="I17" s="148"/>
      <c r="J17" s="147"/>
      <c r="K17" s="152"/>
      <c r="L17" s="152"/>
      <c r="M17" s="149"/>
    </row>
    <row r="18" spans="2:13" s="146" customFormat="1" ht="12.75" x14ac:dyDescent="0.2">
      <c r="B18" s="151"/>
      <c r="C18" s="150"/>
      <c r="D18" s="117"/>
      <c r="E18" s="117"/>
      <c r="F18" s="119"/>
      <c r="G18" s="153"/>
      <c r="H18" s="147"/>
      <c r="I18" s="148"/>
      <c r="J18" s="147"/>
      <c r="K18" s="152"/>
      <c r="L18" s="152"/>
      <c r="M18" s="149"/>
    </row>
    <row r="19" spans="2:13" s="146" customFormat="1" ht="12.75" x14ac:dyDescent="0.2">
      <c r="B19" s="151"/>
      <c r="C19" s="150"/>
      <c r="D19" s="117"/>
      <c r="E19" s="117"/>
      <c r="F19" s="119"/>
      <c r="G19" s="153"/>
      <c r="H19" s="147"/>
      <c r="I19" s="148"/>
      <c r="J19" s="147"/>
      <c r="K19" s="152"/>
      <c r="L19" s="152"/>
      <c r="M19" s="149"/>
    </row>
    <row r="20" spans="2:13" s="146" customFormat="1" ht="12.75" x14ac:dyDescent="0.2">
      <c r="B20" s="151"/>
      <c r="C20" s="150"/>
      <c r="D20" s="117"/>
      <c r="E20" s="117"/>
      <c r="F20" s="119"/>
      <c r="G20" s="153"/>
      <c r="H20" s="147"/>
      <c r="I20" s="148"/>
      <c r="J20" s="147"/>
      <c r="K20" s="152"/>
      <c r="L20" s="152"/>
      <c r="M20" s="149"/>
    </row>
    <row r="21" spans="2:13" s="146" customFormat="1" ht="12.75" x14ac:dyDescent="0.2">
      <c r="B21" s="151"/>
      <c r="C21" s="150"/>
      <c r="D21" s="117"/>
      <c r="E21" s="117"/>
      <c r="F21" s="119"/>
      <c r="G21" s="153"/>
      <c r="H21" s="147"/>
      <c r="I21" s="148"/>
      <c r="J21" s="147"/>
      <c r="K21" s="152"/>
      <c r="L21" s="152"/>
      <c r="M21" s="149"/>
    </row>
    <row r="22" spans="2:13" ht="16.5" customHeight="1" thickBot="1" x14ac:dyDescent="0.3">
      <c r="B22" s="215" t="s">
        <v>193</v>
      </c>
      <c r="C22" s="216"/>
      <c r="D22" s="216"/>
      <c r="E22" s="216"/>
      <c r="F22" s="216"/>
      <c r="G22" s="216"/>
      <c r="H22" s="216"/>
      <c r="I22" s="216"/>
      <c r="J22" s="217"/>
      <c r="K22" s="43"/>
      <c r="L22" s="43"/>
      <c r="M22" s="39" t="e">
        <f>SUM(M5:M21)</f>
        <v>#VALUE!</v>
      </c>
    </row>
    <row r="24" spans="2:13" x14ac:dyDescent="0.25">
      <c r="B24" t="s">
        <v>202</v>
      </c>
    </row>
    <row r="25" spans="2:13" x14ac:dyDescent="0.25">
      <c r="B25" t="s">
        <v>201</v>
      </c>
    </row>
  </sheetData>
  <mergeCells count="2">
    <mergeCell ref="B2:M2"/>
    <mergeCell ref="B22:J22"/>
  </mergeCells>
  <pageMargins left="0.25" right="0.25" top="0.75" bottom="0.75" header="0.3" footer="0.3"/>
  <pageSetup paperSize="9" scale="5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8"/>
  <sheetViews>
    <sheetView showGridLines="0" workbookViewId="0">
      <selection activeCell="G9" sqref="G9"/>
    </sheetView>
  </sheetViews>
  <sheetFormatPr defaultRowHeight="15" x14ac:dyDescent="0.25"/>
  <cols>
    <col min="2" max="3" width="21.140625" customWidth="1"/>
    <col min="4" max="4" width="20.140625" customWidth="1"/>
    <col min="5" max="5" width="16.140625" customWidth="1"/>
  </cols>
  <sheetData>
    <row r="1" spans="2:5" ht="15.75" thickBot="1" x14ac:dyDescent="0.3"/>
    <row r="2" spans="2:5" ht="44.1" customHeight="1" x14ac:dyDescent="0.25">
      <c r="B2" s="210" t="s">
        <v>66</v>
      </c>
      <c r="C2" s="214"/>
      <c r="D2" s="211"/>
      <c r="E2" s="212"/>
    </row>
    <row r="3" spans="2:5" x14ac:dyDescent="0.25">
      <c r="B3" s="6" t="s">
        <v>6</v>
      </c>
      <c r="C3" s="107"/>
      <c r="D3" s="7" t="s">
        <v>7</v>
      </c>
      <c r="E3" s="8"/>
    </row>
    <row r="4" spans="2:5" ht="39.950000000000003" customHeight="1" x14ac:dyDescent="0.25">
      <c r="B4" s="101" t="s">
        <v>220</v>
      </c>
      <c r="C4" s="15" t="s">
        <v>227</v>
      </c>
      <c r="D4" s="4" t="s">
        <v>57</v>
      </c>
      <c r="E4" s="9" t="s">
        <v>30</v>
      </c>
    </row>
    <row r="5" spans="2:5" ht="15.75" thickBot="1" x14ac:dyDescent="0.3">
      <c r="B5" s="34">
        <f>Inicial!D55</f>
        <v>22594.635652173914</v>
      </c>
      <c r="C5" s="171">
        <v>2</v>
      </c>
      <c r="D5" s="5" t="e">
        <f>(Inicial!D16-Inicial!D15)/365</f>
        <v>#VALUE!</v>
      </c>
      <c r="E5" s="40" t="e">
        <f>B5*D5*C5</f>
        <v>#VALUE!</v>
      </c>
    </row>
    <row r="6" spans="2:5" x14ac:dyDescent="0.25">
      <c r="D6" s="1"/>
    </row>
    <row r="7" spans="2:5" x14ac:dyDescent="0.25">
      <c r="B7" t="s">
        <v>232</v>
      </c>
    </row>
    <row r="8" spans="2:5" x14ac:dyDescent="0.25">
      <c r="B8" t="s">
        <v>233</v>
      </c>
    </row>
  </sheetData>
  <mergeCells count="1">
    <mergeCell ref="B2:E2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7"/>
  <sheetViews>
    <sheetView showGridLines="0" workbookViewId="0">
      <selection activeCell="F5" sqref="F5"/>
    </sheetView>
  </sheetViews>
  <sheetFormatPr defaultRowHeight="15" x14ac:dyDescent="0.25"/>
  <cols>
    <col min="2" max="2" width="27.140625" customWidth="1"/>
    <col min="3" max="3" width="11.42578125" customWidth="1"/>
    <col min="4" max="4" width="18.85546875" customWidth="1"/>
    <col min="5" max="5" width="16.42578125" customWidth="1"/>
    <col min="6" max="6" width="17.140625" customWidth="1"/>
  </cols>
  <sheetData>
    <row r="1" spans="2:6" ht="15.75" thickBot="1" x14ac:dyDescent="0.3"/>
    <row r="2" spans="2:6" ht="39.950000000000003" customHeight="1" x14ac:dyDescent="0.25">
      <c r="B2" s="218" t="s">
        <v>28</v>
      </c>
      <c r="C2" s="219"/>
      <c r="D2" s="219"/>
      <c r="E2" s="219"/>
      <c r="F2" s="220"/>
    </row>
    <row r="3" spans="2:6" x14ac:dyDescent="0.25">
      <c r="B3" s="6" t="s">
        <v>6</v>
      </c>
      <c r="C3" s="7" t="s">
        <v>7</v>
      </c>
      <c r="D3" s="7" t="s">
        <v>8</v>
      </c>
      <c r="E3" s="12" t="s">
        <v>14</v>
      </c>
      <c r="F3" s="8"/>
    </row>
    <row r="4" spans="2:6" ht="39.950000000000003" customHeight="1" x14ac:dyDescent="0.25">
      <c r="B4" s="101" t="s">
        <v>224</v>
      </c>
      <c r="C4" s="4" t="s">
        <v>189</v>
      </c>
      <c r="D4" s="4" t="s">
        <v>57</v>
      </c>
      <c r="E4" s="4" t="s">
        <v>9</v>
      </c>
      <c r="F4" s="9" t="s">
        <v>54</v>
      </c>
    </row>
    <row r="5" spans="2:6" ht="15.75" thickBot="1" x14ac:dyDescent="0.3">
      <c r="B5" s="34">
        <f>Inicial!D54</f>
        <v>7034526.9600000009</v>
      </c>
      <c r="C5" s="5" t="str">
        <f>Inicial!D13</f>
        <v>xx</v>
      </c>
      <c r="D5" s="5" t="e">
        <f>(Inicial!D16-Inicial!D15)/365</f>
        <v>#VALUE!</v>
      </c>
      <c r="E5" s="31">
        <f>Inicial!D48</f>
        <v>35095.519999999997</v>
      </c>
      <c r="F5" s="40" t="e">
        <f>B5*C5*D5/E5</f>
        <v>#VALUE!</v>
      </c>
    </row>
    <row r="6" spans="2:6" x14ac:dyDescent="0.25">
      <c r="C6" s="1"/>
    </row>
    <row r="7" spans="2:6" x14ac:dyDescent="0.25">
      <c r="B7" t="s">
        <v>84</v>
      </c>
    </row>
  </sheetData>
  <mergeCells count="1">
    <mergeCell ref="B2:F2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I38"/>
  <sheetViews>
    <sheetView showGridLines="0" topLeftCell="A16" zoomScale="120" zoomScaleNormal="120" workbookViewId="0">
      <selection sqref="A1:L38"/>
    </sheetView>
  </sheetViews>
  <sheetFormatPr defaultColWidth="8.5703125" defaultRowHeight="15" x14ac:dyDescent="0.25"/>
  <cols>
    <col min="2" max="2" width="30.42578125" style="154" customWidth="1"/>
    <col min="3" max="3" width="24.140625" customWidth="1"/>
    <col min="4" max="4" width="17.42578125" customWidth="1"/>
    <col min="5" max="5" width="15.140625" style="157" customWidth="1"/>
    <col min="6" max="6" width="17.42578125" customWidth="1"/>
    <col min="7" max="7" width="13.85546875" customWidth="1"/>
    <col min="8" max="8" width="10.85546875" customWidth="1"/>
    <col min="9" max="9" width="20.5703125" customWidth="1"/>
  </cols>
  <sheetData>
    <row r="1" spans="2:9" ht="15.75" thickBot="1" x14ac:dyDescent="0.3"/>
    <row r="2" spans="2:9" ht="116.25" customHeight="1" thickBot="1" x14ac:dyDescent="0.3">
      <c r="B2" s="221" t="s">
        <v>73</v>
      </c>
      <c r="C2" s="222"/>
      <c r="D2" s="222"/>
      <c r="E2" s="222"/>
      <c r="F2" s="222"/>
      <c r="G2" s="223"/>
      <c r="H2" s="46"/>
      <c r="I2" s="46"/>
    </row>
    <row r="3" spans="2:9" ht="26.25" customHeight="1" x14ac:dyDescent="0.25">
      <c r="B3" s="226" t="s">
        <v>228</v>
      </c>
      <c r="C3" s="227"/>
      <c r="D3" s="227"/>
      <c r="E3" s="227"/>
      <c r="F3" s="227"/>
      <c r="G3" s="48" t="e">
        <f>G28</f>
        <v>#VALUE!</v>
      </c>
      <c r="H3" s="49"/>
      <c r="I3" s="49"/>
    </row>
    <row r="4" spans="2:9" ht="26.25" customHeight="1" x14ac:dyDescent="0.25">
      <c r="B4" s="213" t="s">
        <v>87</v>
      </c>
      <c r="C4" s="208"/>
      <c r="D4" s="208"/>
      <c r="E4" s="208"/>
      <c r="F4" s="208"/>
      <c r="G4" s="50" t="e">
        <f>I36</f>
        <v>#VALUE!</v>
      </c>
      <c r="H4" s="49"/>
      <c r="I4" s="49"/>
    </row>
    <row r="5" spans="2:9" ht="26.25" customHeight="1" thickBot="1" x14ac:dyDescent="0.3">
      <c r="B5" s="202" t="s">
        <v>4</v>
      </c>
      <c r="C5" s="204"/>
      <c r="D5" s="204"/>
      <c r="E5" s="204"/>
      <c r="F5" s="204"/>
      <c r="G5" s="41" t="e">
        <f>G3+G4</f>
        <v>#VALUE!</v>
      </c>
      <c r="H5" s="49"/>
      <c r="I5" s="49"/>
    </row>
    <row r="6" spans="2:9" ht="16.5" customHeight="1" thickBot="1" x14ac:dyDescent="0.3"/>
    <row r="7" spans="2:9" ht="48" customHeight="1" x14ac:dyDescent="0.25">
      <c r="B7" s="228" t="s">
        <v>85</v>
      </c>
      <c r="C7" s="229"/>
      <c r="D7" s="229"/>
      <c r="E7" s="229"/>
      <c r="F7" s="229"/>
      <c r="G7" s="230"/>
      <c r="H7" s="45"/>
      <c r="I7" s="45"/>
    </row>
    <row r="8" spans="2:9" x14ac:dyDescent="0.25">
      <c r="B8" s="155"/>
      <c r="C8" s="7" t="s">
        <v>6</v>
      </c>
      <c r="D8" s="7" t="s">
        <v>7</v>
      </c>
      <c r="E8" s="7" t="s">
        <v>8</v>
      </c>
      <c r="F8" s="7" t="s">
        <v>14</v>
      </c>
      <c r="G8" s="8"/>
    </row>
    <row r="9" spans="2:9" ht="30" x14ac:dyDescent="0.25">
      <c r="B9" s="101" t="s">
        <v>86</v>
      </c>
      <c r="C9" s="4" t="s">
        <v>205</v>
      </c>
      <c r="D9" s="4" t="s">
        <v>18</v>
      </c>
      <c r="E9" s="4" t="s">
        <v>16</v>
      </c>
      <c r="F9" s="4" t="s">
        <v>17</v>
      </c>
      <c r="G9" s="9" t="s">
        <v>15</v>
      </c>
    </row>
    <row r="10" spans="2:9" ht="30" x14ac:dyDescent="0.25">
      <c r="B10" s="156" t="str">
        <f>Inicial!C30</f>
        <v>Equipamento 1</v>
      </c>
      <c r="C10" s="35">
        <f>Inicial!E30</f>
        <v>1.5</v>
      </c>
      <c r="D10" s="36">
        <f>Inicial!D30</f>
        <v>1</v>
      </c>
      <c r="E10" s="158" t="e">
        <f>Inicial!$D$16-Inicial!$D$15</f>
        <v>#VALUE!</v>
      </c>
      <c r="F10" s="160">
        <v>0.26124000000000003</v>
      </c>
      <c r="G10" s="161" t="e">
        <f t="shared" ref="G10:G15" si="0">C10*D10*E10*F10</f>
        <v>#VALUE!</v>
      </c>
    </row>
    <row r="11" spans="2:9" ht="30" x14ac:dyDescent="0.25">
      <c r="B11" s="156" t="str">
        <f>Inicial!C31</f>
        <v>Equipamento 2</v>
      </c>
      <c r="C11" s="35">
        <f>Inicial!E31</f>
        <v>0.5</v>
      </c>
      <c r="D11" s="36">
        <f>Inicial!D31</f>
        <v>1</v>
      </c>
      <c r="E11" s="158" t="e">
        <f>Inicial!$D$16-Inicial!$D$15</f>
        <v>#VALUE!</v>
      </c>
      <c r="F11" s="160">
        <v>0.26124000000000003</v>
      </c>
      <c r="G11" s="161" t="e">
        <f t="shared" si="0"/>
        <v>#VALUE!</v>
      </c>
    </row>
    <row r="12" spans="2:9" ht="45" x14ac:dyDescent="0.25">
      <c r="B12" s="156" t="str">
        <f>Inicial!C32</f>
        <v>Equipamento 3</v>
      </c>
      <c r="C12" s="35">
        <f>Inicial!E32</f>
        <v>1.5</v>
      </c>
      <c r="D12" s="36">
        <f>Inicial!D32</f>
        <v>0.5</v>
      </c>
      <c r="E12" s="158" t="e">
        <f>Inicial!$D$16-Inicial!$D$15</f>
        <v>#VALUE!</v>
      </c>
      <c r="F12" s="160">
        <v>0.26124000000000003</v>
      </c>
      <c r="G12" s="161" t="e">
        <f t="shared" si="0"/>
        <v>#VALUE!</v>
      </c>
    </row>
    <row r="13" spans="2:9" ht="30" x14ac:dyDescent="0.25">
      <c r="B13" s="156" t="str">
        <f>Inicial!C33</f>
        <v>Equipamento 4</v>
      </c>
      <c r="C13" s="35">
        <f>Inicial!E33</f>
        <v>1.5</v>
      </c>
      <c r="D13" s="36">
        <f>Inicial!D33</f>
        <v>8</v>
      </c>
      <c r="E13" s="158" t="e">
        <f>Inicial!$D$16-Inicial!$D$15</f>
        <v>#VALUE!</v>
      </c>
      <c r="F13" s="160">
        <v>0.26124000000000003</v>
      </c>
      <c r="G13" s="161" t="e">
        <f t="shared" si="0"/>
        <v>#VALUE!</v>
      </c>
    </row>
    <row r="14" spans="2:9" x14ac:dyDescent="0.25">
      <c r="B14" s="156" t="str">
        <f>Inicial!C34</f>
        <v>Equipamento 5</v>
      </c>
      <c r="C14" s="35">
        <f>Inicial!E34</f>
        <v>1.5</v>
      </c>
      <c r="D14" s="36">
        <f>Inicial!D34</f>
        <v>8</v>
      </c>
      <c r="E14" s="158" t="e">
        <f>Inicial!$D$16-Inicial!$D$15</f>
        <v>#VALUE!</v>
      </c>
      <c r="F14" s="160">
        <v>0.26124000000000003</v>
      </c>
      <c r="G14" s="161" t="e">
        <f t="shared" si="0"/>
        <v>#VALUE!</v>
      </c>
    </row>
    <row r="15" spans="2:9" ht="45" x14ac:dyDescent="0.25">
      <c r="B15" s="156" t="str">
        <f>Inicial!C35</f>
        <v>Equipamento 6</v>
      </c>
      <c r="C15" s="35">
        <f>Inicial!E35</f>
        <v>1.5</v>
      </c>
      <c r="D15" s="36">
        <f>Inicial!D35</f>
        <v>0.1</v>
      </c>
      <c r="E15" s="158" t="e">
        <f>Inicial!$D$16-Inicial!$D$15</f>
        <v>#VALUE!</v>
      </c>
      <c r="F15" s="160">
        <v>0.26124000000000003</v>
      </c>
      <c r="G15" s="161" t="e">
        <f t="shared" si="0"/>
        <v>#VALUE!</v>
      </c>
    </row>
    <row r="16" spans="2:9" x14ac:dyDescent="0.25">
      <c r="B16" s="156"/>
      <c r="C16" s="35"/>
      <c r="D16" s="36"/>
      <c r="E16" s="158"/>
      <c r="F16" s="160"/>
      <c r="G16" s="161"/>
    </row>
    <row r="17" spans="2:9" x14ac:dyDescent="0.25">
      <c r="B17" s="156"/>
      <c r="C17" s="35"/>
      <c r="D17" s="36"/>
      <c r="E17" s="158"/>
      <c r="F17" s="160"/>
      <c r="G17" s="161"/>
    </row>
    <row r="18" spans="2:9" x14ac:dyDescent="0.25">
      <c r="B18" s="156"/>
      <c r="C18" s="35"/>
      <c r="D18" s="36"/>
      <c r="E18" s="158"/>
      <c r="F18" s="160"/>
      <c r="G18" s="161"/>
    </row>
    <row r="19" spans="2:9" hidden="1" x14ac:dyDescent="0.25">
      <c r="B19" s="156"/>
      <c r="C19" s="35"/>
      <c r="D19" s="36"/>
      <c r="E19" s="158"/>
      <c r="F19" s="27"/>
      <c r="G19" s="38"/>
    </row>
    <row r="20" spans="2:9" hidden="1" x14ac:dyDescent="0.25">
      <c r="B20" s="156"/>
      <c r="C20" s="35"/>
      <c r="D20" s="36"/>
      <c r="E20" s="158"/>
      <c r="F20" s="27"/>
      <c r="G20" s="38"/>
    </row>
    <row r="21" spans="2:9" hidden="1" x14ac:dyDescent="0.25">
      <c r="B21" s="156"/>
      <c r="C21" s="35"/>
      <c r="D21" s="36"/>
      <c r="E21" s="158"/>
      <c r="F21" s="27"/>
      <c r="G21" s="38"/>
    </row>
    <row r="22" spans="2:9" hidden="1" x14ac:dyDescent="0.25">
      <c r="B22" s="156"/>
      <c r="C22" s="35"/>
      <c r="D22" s="36"/>
      <c r="E22" s="158"/>
      <c r="F22" s="27"/>
      <c r="G22" s="38"/>
    </row>
    <row r="23" spans="2:9" hidden="1" x14ac:dyDescent="0.25">
      <c r="B23" s="156"/>
      <c r="C23" s="35"/>
      <c r="D23" s="36"/>
      <c r="E23" s="158"/>
      <c r="F23" s="27"/>
      <c r="G23" s="38"/>
    </row>
    <row r="24" spans="2:9" hidden="1" x14ac:dyDescent="0.25">
      <c r="B24" s="156"/>
      <c r="C24" s="35"/>
      <c r="D24" s="36"/>
      <c r="E24" s="158"/>
      <c r="F24" s="27"/>
      <c r="G24" s="38"/>
    </row>
    <row r="25" spans="2:9" hidden="1" x14ac:dyDescent="0.25">
      <c r="B25" s="156"/>
      <c r="C25" s="35"/>
      <c r="D25" s="36"/>
      <c r="E25" s="158"/>
      <c r="F25" s="27"/>
      <c r="G25" s="38"/>
    </row>
    <row r="26" spans="2:9" hidden="1" x14ac:dyDescent="0.25">
      <c r="B26" s="156"/>
      <c r="C26" s="35"/>
      <c r="D26" s="36"/>
      <c r="E26" s="158"/>
      <c r="F26" s="27"/>
      <c r="G26" s="38"/>
    </row>
    <row r="27" spans="2:9" hidden="1" x14ac:dyDescent="0.25">
      <c r="B27" s="156"/>
      <c r="C27" s="35"/>
      <c r="D27" s="36"/>
      <c r="E27" s="158"/>
      <c r="F27" s="27"/>
      <c r="G27" s="38"/>
    </row>
    <row r="28" spans="2:9" ht="33" customHeight="1" thickBot="1" x14ac:dyDescent="0.3">
      <c r="B28" s="202" t="s">
        <v>90</v>
      </c>
      <c r="C28" s="204"/>
      <c r="D28" s="204"/>
      <c r="E28" s="204"/>
      <c r="F28" s="204"/>
      <c r="G28" s="47" t="e">
        <f>SUM(G10:G27)</f>
        <v>#VALUE!</v>
      </c>
    </row>
    <row r="29" spans="2:9" ht="17.25" customHeight="1" thickBot="1" x14ac:dyDescent="0.3"/>
    <row r="30" spans="2:9" ht="48" customHeight="1" x14ac:dyDescent="0.25">
      <c r="B30" s="228" t="s">
        <v>87</v>
      </c>
      <c r="C30" s="229"/>
      <c r="D30" s="229"/>
      <c r="E30" s="229"/>
      <c r="F30" s="229"/>
      <c r="G30" s="229"/>
      <c r="H30" s="229"/>
      <c r="I30" s="230"/>
    </row>
    <row r="31" spans="2:9" x14ac:dyDescent="0.25">
      <c r="B31" s="155"/>
      <c r="C31" s="7" t="s">
        <v>6</v>
      </c>
      <c r="D31" s="7" t="s">
        <v>7</v>
      </c>
      <c r="E31" s="7" t="s">
        <v>8</v>
      </c>
      <c r="F31" s="7" t="s">
        <v>14</v>
      </c>
      <c r="G31" s="7" t="s">
        <v>61</v>
      </c>
      <c r="H31" s="7" t="s">
        <v>68</v>
      </c>
      <c r="I31" s="8"/>
    </row>
    <row r="32" spans="2:9" ht="45" x14ac:dyDescent="0.25">
      <c r="B32" s="156" t="s">
        <v>93</v>
      </c>
      <c r="C32" s="4" t="s">
        <v>92</v>
      </c>
      <c r="D32" s="4" t="s">
        <v>18</v>
      </c>
      <c r="E32" s="4" t="s">
        <v>189</v>
      </c>
      <c r="F32" s="4" t="s">
        <v>9</v>
      </c>
      <c r="G32" s="4" t="s">
        <v>16</v>
      </c>
      <c r="H32" s="4" t="s">
        <v>17</v>
      </c>
      <c r="I32" s="9" t="s">
        <v>88</v>
      </c>
    </row>
    <row r="33" spans="2:9" x14ac:dyDescent="0.25">
      <c r="B33" s="156" t="s">
        <v>94</v>
      </c>
      <c r="C33" s="35">
        <v>24.3</v>
      </c>
      <c r="D33" s="36">
        <v>24</v>
      </c>
      <c r="E33" s="159" t="str">
        <f>Inicial!$D$13</f>
        <v>xx</v>
      </c>
      <c r="F33" s="44">
        <f>Inicial!$D$48</f>
        <v>35095.519999999997</v>
      </c>
      <c r="G33" s="37" t="e">
        <f>Inicial!$D$16-Inicial!$D$15</f>
        <v>#VALUE!</v>
      </c>
      <c r="H33" s="27">
        <f>Inicial!$D$53</f>
        <v>0.37861</v>
      </c>
      <c r="I33" s="38" t="e">
        <f>C33*D33*E33*G33*H33/F33</f>
        <v>#VALUE!</v>
      </c>
    </row>
    <row r="34" spans="2:9" x14ac:dyDescent="0.25">
      <c r="B34" s="156" t="s">
        <v>95</v>
      </c>
      <c r="C34" s="35">
        <v>15</v>
      </c>
      <c r="D34" s="36">
        <v>24</v>
      </c>
      <c r="E34" s="159" t="str">
        <f>Inicial!$D$13</f>
        <v>xx</v>
      </c>
      <c r="F34" s="44">
        <f>Inicial!$D$48</f>
        <v>35095.519999999997</v>
      </c>
      <c r="G34" s="37" t="e">
        <f>Inicial!$D$16-Inicial!$D$15</f>
        <v>#VALUE!</v>
      </c>
      <c r="H34" s="27">
        <f>Inicial!$D$53</f>
        <v>0.37861</v>
      </c>
      <c r="I34" s="38" t="e">
        <f t="shared" ref="I34:I35" si="1">C34*D34*E34*G34*H34/F34</f>
        <v>#VALUE!</v>
      </c>
    </row>
    <row r="35" spans="2:9" x14ac:dyDescent="0.25">
      <c r="B35" s="156" t="s">
        <v>96</v>
      </c>
      <c r="C35" s="35">
        <v>66.676000000000002</v>
      </c>
      <c r="D35" s="36">
        <v>24</v>
      </c>
      <c r="E35" s="159" t="str">
        <f>Inicial!$D$13</f>
        <v>xx</v>
      </c>
      <c r="F35" s="44">
        <f>Inicial!$D$48</f>
        <v>35095.519999999997</v>
      </c>
      <c r="G35" s="37" t="e">
        <f>Inicial!$D$16-Inicial!$D$15</f>
        <v>#VALUE!</v>
      </c>
      <c r="H35" s="27">
        <f>Inicial!$D$53</f>
        <v>0.37861</v>
      </c>
      <c r="I35" s="38" t="e">
        <f t="shared" si="1"/>
        <v>#VALUE!</v>
      </c>
    </row>
    <row r="36" spans="2:9" ht="15.75" thickBot="1" x14ac:dyDescent="0.3">
      <c r="B36" s="224" t="s">
        <v>89</v>
      </c>
      <c r="C36" s="225"/>
      <c r="D36" s="225"/>
      <c r="E36" s="225"/>
      <c r="F36" s="225"/>
      <c r="G36" s="225"/>
      <c r="H36" s="225"/>
      <c r="I36" s="40" t="e">
        <f>SUM(I33:I35)</f>
        <v>#VALUE!</v>
      </c>
    </row>
    <row r="38" spans="2:9" x14ac:dyDescent="0.25">
      <c r="B38" s="154" t="s">
        <v>152</v>
      </c>
    </row>
  </sheetData>
  <mergeCells count="8">
    <mergeCell ref="B2:G2"/>
    <mergeCell ref="B28:F28"/>
    <mergeCell ref="B4:F4"/>
    <mergeCell ref="B5:F5"/>
    <mergeCell ref="B36:H36"/>
    <mergeCell ref="B3:F3"/>
    <mergeCell ref="B30:I30"/>
    <mergeCell ref="B7:G7"/>
  </mergeCells>
  <pageMargins left="0.25" right="0.25" top="0.75" bottom="0.75" header="0.3" footer="0.3"/>
  <pageSetup paperSize="9" scale="59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7"/>
  <sheetViews>
    <sheetView showGridLines="0" workbookViewId="0">
      <selection activeCell="B7" sqref="B7:F7"/>
    </sheetView>
  </sheetViews>
  <sheetFormatPr defaultColWidth="11.42578125" defaultRowHeight="15" x14ac:dyDescent="0.25"/>
  <cols>
    <col min="2" max="2" width="15.42578125" customWidth="1"/>
    <col min="4" max="4" width="13.85546875" customWidth="1"/>
    <col min="5" max="5" width="14.42578125" bestFit="1" customWidth="1"/>
    <col min="6" max="6" width="13.42578125" bestFit="1" customWidth="1"/>
  </cols>
  <sheetData>
    <row r="1" spans="2:6" ht="15.75" thickBot="1" x14ac:dyDescent="0.3"/>
    <row r="2" spans="2:6" ht="26.25" x14ac:dyDescent="0.25">
      <c r="B2" s="218" t="s">
        <v>12</v>
      </c>
      <c r="C2" s="219"/>
      <c r="D2" s="219"/>
      <c r="E2" s="219"/>
      <c r="F2" s="220"/>
    </row>
    <row r="3" spans="2:6" x14ac:dyDescent="0.25">
      <c r="B3" s="6" t="s">
        <v>6</v>
      </c>
      <c r="C3" s="7" t="s">
        <v>7</v>
      </c>
      <c r="D3" s="7" t="s">
        <v>8</v>
      </c>
      <c r="E3" s="12" t="s">
        <v>14</v>
      </c>
      <c r="F3" s="8"/>
    </row>
    <row r="4" spans="2:6" ht="45" x14ac:dyDescent="0.25">
      <c r="B4" s="101" t="s">
        <v>206</v>
      </c>
      <c r="C4" s="4" t="s">
        <v>225</v>
      </c>
      <c r="D4" s="4" t="s">
        <v>16</v>
      </c>
      <c r="E4" s="4" t="s">
        <v>13</v>
      </c>
      <c r="F4" s="9" t="s">
        <v>15</v>
      </c>
    </row>
    <row r="5" spans="2:6" ht="15.75" thickBot="1" x14ac:dyDescent="0.3">
      <c r="B5" s="11" t="str">
        <f>Inicial!D14</f>
        <v>xx</v>
      </c>
      <c r="C5" s="10">
        <v>0.05</v>
      </c>
      <c r="D5" s="14" t="e">
        <f>Inicial!$D$16-Inicial!$D$15</f>
        <v>#VALUE!</v>
      </c>
      <c r="E5" s="13">
        <v>26.18</v>
      </c>
      <c r="F5" s="40" t="e">
        <f>B5*C5*D5*E5</f>
        <v>#VALUE!</v>
      </c>
    </row>
    <row r="6" spans="2:6" x14ac:dyDescent="0.25">
      <c r="C6" s="1"/>
    </row>
    <row r="7" spans="2:6" ht="66.75" customHeight="1" x14ac:dyDescent="0.25">
      <c r="B7" s="231" t="s">
        <v>151</v>
      </c>
      <c r="C7" s="231"/>
      <c r="D7" s="231"/>
      <c r="E7" s="231"/>
      <c r="F7" s="231"/>
    </row>
  </sheetData>
  <mergeCells count="2">
    <mergeCell ref="B2:F2"/>
    <mergeCell ref="B7:F7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7"/>
  <sheetViews>
    <sheetView showGridLines="0" zoomScale="85" zoomScaleNormal="85" workbookViewId="0">
      <selection activeCell="Q27" sqref="Q27"/>
    </sheetView>
  </sheetViews>
  <sheetFormatPr defaultRowHeight="15" x14ac:dyDescent="0.25"/>
  <cols>
    <col min="2" max="2" width="23.42578125" customWidth="1"/>
    <col min="3" max="3" width="12.85546875" customWidth="1"/>
    <col min="4" max="4" width="16.42578125" customWidth="1"/>
    <col min="5" max="5" width="16" customWidth="1"/>
    <col min="6" max="6" width="22.42578125" customWidth="1"/>
  </cols>
  <sheetData>
    <row r="1" spans="2:6" ht="15.75" thickBot="1" x14ac:dyDescent="0.3"/>
    <row r="2" spans="2:6" ht="26.25" x14ac:dyDescent="0.25">
      <c r="B2" s="218" t="s">
        <v>11</v>
      </c>
      <c r="C2" s="219"/>
      <c r="D2" s="219"/>
      <c r="E2" s="219"/>
      <c r="F2" s="220"/>
    </row>
    <row r="3" spans="2:6" x14ac:dyDescent="0.25">
      <c r="B3" s="6" t="s">
        <v>6</v>
      </c>
      <c r="C3" s="7" t="s">
        <v>7</v>
      </c>
      <c r="D3" s="7" t="s">
        <v>8</v>
      </c>
      <c r="E3" s="7" t="s">
        <v>14</v>
      </c>
      <c r="F3" s="8"/>
    </row>
    <row r="4" spans="2:6" ht="30" x14ac:dyDescent="0.25">
      <c r="B4" s="101" t="s">
        <v>229</v>
      </c>
      <c r="C4" s="4" t="s">
        <v>189</v>
      </c>
      <c r="D4" s="4" t="s">
        <v>57</v>
      </c>
      <c r="E4" s="4" t="s">
        <v>230</v>
      </c>
      <c r="F4" s="9" t="s">
        <v>54</v>
      </c>
    </row>
    <row r="5" spans="2:6" ht="15.75" thickBot="1" x14ac:dyDescent="0.3">
      <c r="B5" s="34">
        <f>Inicial!D51</f>
        <v>194427.39</v>
      </c>
      <c r="C5" s="5" t="str">
        <f>Inicial!D13</f>
        <v>xx</v>
      </c>
      <c r="D5" s="5" t="e">
        <f>(Inicial!D16-Inicial!D15)/365</f>
        <v>#VALUE!</v>
      </c>
      <c r="E5" s="5">
        <f>Inicial!D48</f>
        <v>35095.519999999997</v>
      </c>
      <c r="F5" s="40" t="e">
        <f>B5*C5*D5/E5</f>
        <v>#VALUE!</v>
      </c>
    </row>
    <row r="7" spans="2:6" x14ac:dyDescent="0.25">
      <c r="B7" t="s">
        <v>81</v>
      </c>
    </row>
  </sheetData>
  <mergeCells count="1">
    <mergeCell ref="B2:F2"/>
  </mergeCells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showGridLines="0" workbookViewId="0">
      <selection activeCell="J7" sqref="J7"/>
    </sheetView>
  </sheetViews>
  <sheetFormatPr defaultRowHeight="15" x14ac:dyDescent="0.25"/>
  <cols>
    <col min="2" max="2" width="27.140625" customWidth="1"/>
    <col min="3" max="3" width="26.85546875" customWidth="1"/>
    <col min="4" max="4" width="13.5703125" customWidth="1"/>
    <col min="5" max="5" width="16.85546875" customWidth="1"/>
    <col min="6" max="6" width="19.5703125" customWidth="1"/>
  </cols>
  <sheetData>
    <row r="1" spans="2:6" ht="15.75" thickBot="1" x14ac:dyDescent="0.3"/>
    <row r="2" spans="2:6" ht="26.25" x14ac:dyDescent="0.25">
      <c r="B2" s="218" t="s">
        <v>10</v>
      </c>
      <c r="C2" s="219"/>
      <c r="D2" s="219"/>
      <c r="E2" s="219"/>
      <c r="F2" s="220"/>
    </row>
    <row r="3" spans="2:6" ht="20.100000000000001" customHeight="1" x14ac:dyDescent="0.25">
      <c r="B3" s="232" t="s">
        <v>34</v>
      </c>
      <c r="C3" s="233"/>
      <c r="D3" s="7" t="s">
        <v>35</v>
      </c>
      <c r="E3" s="7" t="s">
        <v>36</v>
      </c>
      <c r="F3" s="8" t="s">
        <v>24</v>
      </c>
    </row>
    <row r="4" spans="2:6" ht="20.100000000000001" customHeight="1" x14ac:dyDescent="0.25">
      <c r="B4" s="6" t="s">
        <v>38</v>
      </c>
      <c r="C4" s="15" t="s">
        <v>42</v>
      </c>
      <c r="D4" s="7">
        <v>18</v>
      </c>
      <c r="E4" s="28">
        <v>1765</v>
      </c>
      <c r="F4" s="3">
        <f>D4*E4</f>
        <v>31770</v>
      </c>
    </row>
    <row r="5" spans="2:6" ht="38.1" customHeight="1" x14ac:dyDescent="0.25">
      <c r="B5" s="6" t="s">
        <v>37</v>
      </c>
      <c r="C5" s="15" t="s">
        <v>41</v>
      </c>
      <c r="D5" s="7">
        <v>1</v>
      </c>
      <c r="E5" s="28">
        <v>3825</v>
      </c>
      <c r="F5" s="3">
        <f t="shared" ref="F5:F6" si="0">D5*E5</f>
        <v>3825</v>
      </c>
    </row>
    <row r="6" spans="2:6" ht="20.100000000000001" customHeight="1" x14ac:dyDescent="0.25">
      <c r="B6" s="6" t="s">
        <v>39</v>
      </c>
      <c r="C6" s="15" t="s">
        <v>40</v>
      </c>
      <c r="D6" s="7">
        <v>1</v>
      </c>
      <c r="E6" s="28">
        <v>8245</v>
      </c>
      <c r="F6" s="3">
        <f t="shared" si="0"/>
        <v>8245</v>
      </c>
    </row>
    <row r="7" spans="2:6" ht="20.100000000000001" customHeight="1" x14ac:dyDescent="0.25">
      <c r="B7" s="234" t="s">
        <v>4</v>
      </c>
      <c r="C7" s="235"/>
      <c r="D7" s="235"/>
      <c r="E7" s="236"/>
      <c r="F7" s="3">
        <f>SUM(F4:F6)</f>
        <v>43840</v>
      </c>
    </row>
    <row r="8" spans="2:6" ht="20.100000000000001" customHeight="1" x14ac:dyDescent="0.25">
      <c r="B8" s="232" t="s">
        <v>6</v>
      </c>
      <c r="C8" s="233"/>
      <c r="D8" s="7" t="s">
        <v>7</v>
      </c>
      <c r="E8" s="7" t="s">
        <v>8</v>
      </c>
      <c r="F8" s="8"/>
    </row>
    <row r="9" spans="2:6" ht="33.950000000000003" customHeight="1" x14ac:dyDescent="0.25">
      <c r="B9" s="30" t="s">
        <v>226</v>
      </c>
      <c r="C9" s="29" t="s">
        <v>53</v>
      </c>
      <c r="D9" s="4" t="s">
        <v>189</v>
      </c>
      <c r="E9" s="4" t="s">
        <v>9</v>
      </c>
      <c r="F9" s="9" t="s">
        <v>54</v>
      </c>
    </row>
    <row r="10" spans="2:6" ht="20.100000000000001" customHeight="1" thickBot="1" x14ac:dyDescent="0.3">
      <c r="B10" s="32">
        <f>F7</f>
        <v>43840</v>
      </c>
      <c r="C10" s="33" t="e">
        <f>(Inicial!D16-Inicial!D15)/30</f>
        <v>#VALUE!</v>
      </c>
      <c r="D10" s="5" t="str">
        <f>Inicial!D13</f>
        <v>xx</v>
      </c>
      <c r="E10" s="5">
        <f>Inicial!D48</f>
        <v>35095.519999999997</v>
      </c>
      <c r="F10" s="40" t="e">
        <f>B10*C10*D10/E10</f>
        <v>#VALUE!</v>
      </c>
    </row>
    <row r="11" spans="2:6" x14ac:dyDescent="0.25">
      <c r="D11" s="1"/>
    </row>
    <row r="12" spans="2:6" x14ac:dyDescent="0.25">
      <c r="B12" t="s">
        <v>74</v>
      </c>
    </row>
    <row r="13" spans="2:6" x14ac:dyDescent="0.25">
      <c r="B13" t="s">
        <v>76</v>
      </c>
    </row>
    <row r="14" spans="2:6" x14ac:dyDescent="0.25">
      <c r="B14" t="s">
        <v>75</v>
      </c>
    </row>
    <row r="15" spans="2:6" x14ac:dyDescent="0.25">
      <c r="B15" t="s">
        <v>82</v>
      </c>
    </row>
    <row r="16" spans="2:6" x14ac:dyDescent="0.25">
      <c r="B16" t="s">
        <v>237</v>
      </c>
    </row>
  </sheetData>
  <mergeCells count="4">
    <mergeCell ref="B2:F2"/>
    <mergeCell ref="B3:C3"/>
    <mergeCell ref="B7:E7"/>
    <mergeCell ref="B8:C8"/>
  </mergeCells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7"/>
  <sheetViews>
    <sheetView showGridLines="0" workbookViewId="0">
      <selection activeCell="I9" sqref="I9"/>
    </sheetView>
  </sheetViews>
  <sheetFormatPr defaultRowHeight="15" x14ac:dyDescent="0.25"/>
  <cols>
    <col min="2" max="2" width="23.140625" customWidth="1"/>
    <col min="3" max="3" width="18.42578125" customWidth="1"/>
    <col min="4" max="4" width="13.5703125" customWidth="1"/>
    <col min="5" max="5" width="16.140625" customWidth="1"/>
    <col min="6" max="6" width="17.42578125" customWidth="1"/>
  </cols>
  <sheetData>
    <row r="1" spans="2:6" ht="15.75" thickBot="1" x14ac:dyDescent="0.3"/>
    <row r="2" spans="2:6" ht="39.950000000000003" customHeight="1" x14ac:dyDescent="0.25">
      <c r="B2" s="218" t="s">
        <v>5</v>
      </c>
      <c r="C2" s="219"/>
      <c r="D2" s="219"/>
      <c r="E2" s="219"/>
      <c r="F2" s="220"/>
    </row>
    <row r="3" spans="2:6" x14ac:dyDescent="0.25">
      <c r="B3" s="232" t="s">
        <v>34</v>
      </c>
      <c r="C3" s="233"/>
      <c r="D3" s="7" t="s">
        <v>35</v>
      </c>
      <c r="E3" s="7" t="s">
        <v>36</v>
      </c>
      <c r="F3" s="8" t="s">
        <v>24</v>
      </c>
    </row>
    <row r="4" spans="2:6" x14ac:dyDescent="0.25">
      <c r="B4" s="6" t="s">
        <v>51</v>
      </c>
      <c r="C4" s="15" t="s">
        <v>50</v>
      </c>
      <c r="D4" s="7">
        <v>1</v>
      </c>
      <c r="E4" s="28">
        <v>5483</v>
      </c>
      <c r="F4" s="3">
        <f>D4*E4</f>
        <v>5483</v>
      </c>
    </row>
    <row r="5" spans="2:6" x14ac:dyDescent="0.25">
      <c r="B5" s="6" t="s">
        <v>49</v>
      </c>
      <c r="C5" s="15" t="s">
        <v>48</v>
      </c>
      <c r="D5" s="7">
        <v>1</v>
      </c>
      <c r="E5" s="28">
        <v>2627</v>
      </c>
      <c r="F5" s="3">
        <f>D5*E5</f>
        <v>2627</v>
      </c>
    </row>
    <row r="6" spans="2:6" ht="30" x14ac:dyDescent="0.25">
      <c r="B6" s="6" t="s">
        <v>47</v>
      </c>
      <c r="C6" s="15" t="s">
        <v>46</v>
      </c>
      <c r="D6" s="7">
        <v>1</v>
      </c>
      <c r="E6" s="28">
        <v>1926</v>
      </c>
      <c r="F6" s="3">
        <f t="shared" ref="F6:F8" si="0">D6*E6</f>
        <v>1926</v>
      </c>
    </row>
    <row r="7" spans="2:6" x14ac:dyDescent="0.25">
      <c r="B7" s="6" t="s">
        <v>45</v>
      </c>
      <c r="C7" s="15" t="s">
        <v>44</v>
      </c>
      <c r="D7" s="7">
        <v>1</v>
      </c>
      <c r="E7" s="28">
        <v>1765</v>
      </c>
      <c r="F7" s="3">
        <f t="shared" si="0"/>
        <v>1765</v>
      </c>
    </row>
    <row r="8" spans="2:6" x14ac:dyDescent="0.25">
      <c r="B8" s="6" t="s">
        <v>45</v>
      </c>
      <c r="C8" s="15" t="s">
        <v>79</v>
      </c>
      <c r="D8" s="7">
        <v>1</v>
      </c>
      <c r="E8" s="28">
        <v>1765</v>
      </c>
      <c r="F8" s="3">
        <f t="shared" si="0"/>
        <v>1765</v>
      </c>
    </row>
    <row r="9" spans="2:6" x14ac:dyDescent="0.25">
      <c r="B9" s="232" t="s">
        <v>52</v>
      </c>
      <c r="C9" s="237"/>
      <c r="D9" s="237"/>
      <c r="E9" s="233"/>
      <c r="F9" s="3">
        <f>SUM(F4:F8)</f>
        <v>13566</v>
      </c>
    </row>
    <row r="10" spans="2:6" x14ac:dyDescent="0.25">
      <c r="B10" s="6" t="s">
        <v>6</v>
      </c>
      <c r="C10" s="107" t="s">
        <v>7</v>
      </c>
      <c r="D10" s="7" t="s">
        <v>8</v>
      </c>
      <c r="E10" s="7" t="s">
        <v>14</v>
      </c>
      <c r="F10" s="8"/>
    </row>
    <row r="11" spans="2:6" ht="36.6" customHeight="1" x14ac:dyDescent="0.25">
      <c r="B11" s="101" t="s">
        <v>231</v>
      </c>
      <c r="C11" s="15" t="s">
        <v>53</v>
      </c>
      <c r="D11" s="4" t="s">
        <v>189</v>
      </c>
      <c r="E11" s="4" t="s">
        <v>9</v>
      </c>
      <c r="F11" s="9" t="s">
        <v>54</v>
      </c>
    </row>
    <row r="12" spans="2:6" ht="15.75" thickBot="1" x14ac:dyDescent="0.3">
      <c r="B12" s="32">
        <f>F9</f>
        <v>13566</v>
      </c>
      <c r="C12" s="33" t="e">
        <f>(Inicial!D16-Inicial!D15)/30</f>
        <v>#VALUE!</v>
      </c>
      <c r="D12" s="5" t="str">
        <f>Inicial!D13</f>
        <v>xx</v>
      </c>
      <c r="E12" s="5">
        <f>Inicial!D48</f>
        <v>35095.519999999997</v>
      </c>
      <c r="F12" s="40" t="e">
        <f>B12*C12*D12/E12</f>
        <v>#VALUE!</v>
      </c>
    </row>
    <row r="13" spans="2:6" x14ac:dyDescent="0.25">
      <c r="D13" s="1"/>
    </row>
    <row r="14" spans="2:6" x14ac:dyDescent="0.25">
      <c r="B14" t="s">
        <v>77</v>
      </c>
    </row>
    <row r="15" spans="2:6" x14ac:dyDescent="0.25">
      <c r="B15" t="s">
        <v>83</v>
      </c>
    </row>
    <row r="16" spans="2:6" x14ac:dyDescent="0.25">
      <c r="B16" t="s">
        <v>80</v>
      </c>
    </row>
    <row r="17" spans="2:2" x14ac:dyDescent="0.25">
      <c r="B17" t="s">
        <v>236</v>
      </c>
    </row>
  </sheetData>
  <mergeCells count="3">
    <mergeCell ref="B2:F2"/>
    <mergeCell ref="B3:C3"/>
    <mergeCell ref="B9:E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1</vt:i4>
      </vt:variant>
    </vt:vector>
  </HeadingPairs>
  <TitlesOfParts>
    <vt:vector size="12" baseType="lpstr">
      <vt:lpstr>Inicial</vt:lpstr>
      <vt:lpstr>Recursos Humanos Diretos</vt:lpstr>
      <vt:lpstr>Recursos Humanos Indiretos</vt:lpstr>
      <vt:lpstr>Depreciação</vt:lpstr>
      <vt:lpstr>Manutenção acervo bib</vt:lpstr>
      <vt:lpstr>Manutenção infraestrutura</vt:lpstr>
      <vt:lpstr>Energia Eletrica</vt:lpstr>
      <vt:lpstr>Água e Esgoto</vt:lpstr>
      <vt:lpstr>Limpeza</vt:lpstr>
      <vt:lpstr>Portaria</vt:lpstr>
      <vt:lpstr>Vigilância</vt:lpstr>
      <vt:lpstr>Inicial!Print_Area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Raquel Alexandre</cp:lastModifiedBy>
  <cp:lastPrinted>2025-11-28T15:17:46Z</cp:lastPrinted>
  <dcterms:created xsi:type="dcterms:W3CDTF">2018-03-07T13:33:03Z</dcterms:created>
  <dcterms:modified xsi:type="dcterms:W3CDTF">2025-12-01T15:14:27Z</dcterms:modified>
</cp:coreProperties>
</file>